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95" windowHeight="7935"/>
  </bookViews>
  <sheets>
    <sheet name="AS OF JUNE 5, 2010 LBC" sheetId="2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S71" i="2"/>
  <c r="S53"/>
  <c r="S65" s="1"/>
  <c r="S36"/>
  <c r="S47" s="1"/>
  <c r="S20"/>
  <c r="S23" s="1"/>
  <c r="S14"/>
  <c r="S10"/>
  <c r="S11" s="1"/>
  <c r="R71"/>
  <c r="H84"/>
  <c r="G84"/>
  <c r="F84"/>
  <c r="E84"/>
  <c r="D84"/>
  <c r="C84"/>
  <c r="Q71"/>
  <c r="Q53"/>
  <c r="Q36"/>
  <c r="Q47" s="1"/>
  <c r="Q20"/>
  <c r="Q23" s="1"/>
  <c r="Q14"/>
  <c r="Q10"/>
  <c r="Q11" s="1"/>
  <c r="F13" i="3"/>
  <c r="F23" s="1"/>
  <c r="F11"/>
  <c r="F12" s="1"/>
  <c r="E13"/>
  <c r="E23" s="1"/>
  <c r="E11"/>
  <c r="E12" s="1"/>
  <c r="D13"/>
  <c r="D23" s="1"/>
  <c r="D11"/>
  <c r="D12" s="1"/>
  <c r="C11"/>
  <c r="C12" s="1"/>
  <c r="C13"/>
  <c r="C23" s="1"/>
  <c r="P71" i="2"/>
  <c r="O71"/>
  <c r="P53"/>
  <c r="O53"/>
  <c r="P36"/>
  <c r="P47" s="1"/>
  <c r="O36"/>
  <c r="O47" s="1"/>
  <c r="P20"/>
  <c r="P23" s="1"/>
  <c r="P29" s="1"/>
  <c r="O20"/>
  <c r="O23" s="1"/>
  <c r="O29" s="1"/>
  <c r="P14"/>
  <c r="O14"/>
  <c r="P10"/>
  <c r="P11" s="1"/>
  <c r="O10"/>
  <c r="O11" s="1"/>
  <c r="N71"/>
  <c r="M71"/>
  <c r="N53"/>
  <c r="M53"/>
  <c r="N36"/>
  <c r="N47" s="1"/>
  <c r="M36"/>
  <c r="M47" s="1"/>
  <c r="N20"/>
  <c r="N23" s="1"/>
  <c r="M20"/>
  <c r="M23" s="1"/>
  <c r="N14"/>
  <c r="M14"/>
  <c r="N10"/>
  <c r="N11" s="1"/>
  <c r="M10"/>
  <c r="M11" s="1"/>
  <c r="L71"/>
  <c r="L53"/>
  <c r="L36"/>
  <c r="L47" s="1"/>
  <c r="L20"/>
  <c r="L23" s="1"/>
  <c r="L14"/>
  <c r="L10"/>
  <c r="L11" s="1"/>
  <c r="K71"/>
  <c r="K53"/>
  <c r="K36"/>
  <c r="K47" s="1"/>
  <c r="K20"/>
  <c r="K23" s="1"/>
  <c r="K14"/>
  <c r="K10"/>
  <c r="K11" s="1"/>
  <c r="J71"/>
  <c r="J53"/>
  <c r="J36"/>
  <c r="J47" s="1"/>
  <c r="J20"/>
  <c r="J23" s="1"/>
  <c r="J14"/>
  <c r="J10"/>
  <c r="J11" s="1"/>
  <c r="I71"/>
  <c r="I53"/>
  <c r="I65" s="1"/>
  <c r="I36"/>
  <c r="I47" s="1"/>
  <c r="I20"/>
  <c r="I23" s="1"/>
  <c r="I29" s="1"/>
  <c r="I14"/>
  <c r="I15" s="1"/>
  <c r="I10"/>
  <c r="I11" s="1"/>
  <c r="G71"/>
  <c r="H71"/>
  <c r="H72"/>
  <c r="H73" s="1"/>
  <c r="H85" s="1"/>
  <c r="H53"/>
  <c r="H65" s="1"/>
  <c r="H36"/>
  <c r="H47" s="1"/>
  <c r="H20"/>
  <c r="H23" s="1"/>
  <c r="H14"/>
  <c r="H10"/>
  <c r="H11" s="1"/>
  <c r="G72"/>
  <c r="G73" s="1"/>
  <c r="G85" s="1"/>
  <c r="G53"/>
  <c r="G65" s="1"/>
  <c r="G36"/>
  <c r="G47" s="1"/>
  <c r="G20"/>
  <c r="G23" s="1"/>
  <c r="G14"/>
  <c r="G10"/>
  <c r="G11" s="1"/>
  <c r="D20"/>
  <c r="C20"/>
  <c r="F71"/>
  <c r="F53"/>
  <c r="F65" s="1"/>
  <c r="F36"/>
  <c r="F47" s="1"/>
  <c r="F14"/>
  <c r="F20" s="1"/>
  <c r="F10"/>
  <c r="F11" s="1"/>
  <c r="D72"/>
  <c r="C14"/>
  <c r="D14"/>
  <c r="E14"/>
  <c r="E71"/>
  <c r="E72" s="1"/>
  <c r="E73" s="1"/>
  <c r="E85" s="1"/>
  <c r="E53"/>
  <c r="E54" s="1"/>
  <c r="E55" s="1"/>
  <c r="E36"/>
  <c r="D53"/>
  <c r="D54" s="1"/>
  <c r="D55" s="1"/>
  <c r="D36"/>
  <c r="C71"/>
  <c r="C72" s="1"/>
  <c r="C73" s="1"/>
  <c r="C85" s="1"/>
  <c r="C53"/>
  <c r="C54" s="1"/>
  <c r="C55" s="1"/>
  <c r="C36"/>
  <c r="D73"/>
  <c r="D79" s="1"/>
  <c r="E47"/>
  <c r="D47"/>
  <c r="C47"/>
  <c r="E20"/>
  <c r="E23" s="1"/>
  <c r="D23"/>
  <c r="C23"/>
  <c r="E10"/>
  <c r="E11" s="1"/>
  <c r="D10"/>
  <c r="D11" s="1"/>
  <c r="C10"/>
  <c r="C11" s="1"/>
  <c r="S34" l="1"/>
  <c r="S33"/>
  <c r="S32"/>
  <c r="S29"/>
  <c r="S28"/>
  <c r="S27"/>
  <c r="S26"/>
  <c r="S15"/>
  <c r="S16" s="1"/>
  <c r="S17" s="1"/>
  <c r="S21"/>
  <c r="S22" s="1"/>
  <c r="S37"/>
  <c r="S38"/>
  <c r="S54"/>
  <c r="S55"/>
  <c r="S72"/>
  <c r="S73" s="1"/>
  <c r="C65"/>
  <c r="D65"/>
  <c r="E65"/>
  <c r="D85"/>
  <c r="R72"/>
  <c r="R73" s="1"/>
  <c r="R10"/>
  <c r="R11"/>
  <c r="R14"/>
  <c r="R20"/>
  <c r="R36"/>
  <c r="R53"/>
  <c r="O26"/>
  <c r="O27"/>
  <c r="O28"/>
  <c r="P26"/>
  <c r="P27"/>
  <c r="P28"/>
  <c r="Q34"/>
  <c r="Q33"/>
  <c r="Q32"/>
  <c r="Q29"/>
  <c r="Q28"/>
  <c r="Q27"/>
  <c r="Q26"/>
  <c r="Q15"/>
  <c r="Q16" s="1"/>
  <c r="Q17" s="1"/>
  <c r="Q21"/>
  <c r="Q22" s="1"/>
  <c r="Q37"/>
  <c r="Q38"/>
  <c r="Q54"/>
  <c r="Q55" s="1"/>
  <c r="Q72"/>
  <c r="Q73" s="1"/>
  <c r="I26"/>
  <c r="I27"/>
  <c r="I28"/>
  <c r="F16" i="3"/>
  <c r="F17"/>
  <c r="F18"/>
  <c r="F21"/>
  <c r="F22"/>
  <c r="E16"/>
  <c r="E17"/>
  <c r="E18"/>
  <c r="E21"/>
  <c r="E22"/>
  <c r="C16"/>
  <c r="C17"/>
  <c r="C18"/>
  <c r="C21"/>
  <c r="C22"/>
  <c r="D16"/>
  <c r="D17"/>
  <c r="D18"/>
  <c r="D21"/>
  <c r="D22"/>
  <c r="O54" i="2"/>
  <c r="O55" s="1"/>
  <c r="P54"/>
  <c r="P55" s="1"/>
  <c r="O72"/>
  <c r="O73" s="1"/>
  <c r="P72"/>
  <c r="P73" s="1"/>
  <c r="O34"/>
  <c r="O33"/>
  <c r="O32"/>
  <c r="P34"/>
  <c r="P33"/>
  <c r="P32"/>
  <c r="O15"/>
  <c r="O16" s="1"/>
  <c r="O17" s="1"/>
  <c r="P15"/>
  <c r="P16" s="1"/>
  <c r="P17" s="1"/>
  <c r="O21"/>
  <c r="O22" s="1"/>
  <c r="P21"/>
  <c r="P22" s="1"/>
  <c r="O37"/>
  <c r="P37"/>
  <c r="O38"/>
  <c r="P38"/>
  <c r="M34"/>
  <c r="M33"/>
  <c r="M32"/>
  <c r="N34"/>
  <c r="N33"/>
  <c r="N32"/>
  <c r="M15"/>
  <c r="M16" s="1"/>
  <c r="M17" s="1"/>
  <c r="N15"/>
  <c r="N16" s="1"/>
  <c r="N17" s="1"/>
  <c r="M21"/>
  <c r="M22" s="1"/>
  <c r="N21"/>
  <c r="N22" s="1"/>
  <c r="M37"/>
  <c r="N37"/>
  <c r="M38"/>
  <c r="N38"/>
  <c r="M54"/>
  <c r="M55" s="1"/>
  <c r="N54"/>
  <c r="N55" s="1"/>
  <c r="M72"/>
  <c r="M73" s="1"/>
  <c r="N72"/>
  <c r="N73" s="1"/>
  <c r="L34"/>
  <c r="L33"/>
  <c r="L32"/>
  <c r="L15"/>
  <c r="L16" s="1"/>
  <c r="L17" s="1"/>
  <c r="L21"/>
  <c r="L22" s="1"/>
  <c r="L37"/>
  <c r="L38"/>
  <c r="L54"/>
  <c r="L55" s="1"/>
  <c r="L72"/>
  <c r="L73" s="1"/>
  <c r="K34"/>
  <c r="K33"/>
  <c r="K32"/>
  <c r="K15"/>
  <c r="K16" s="1"/>
  <c r="K17" s="1"/>
  <c r="K21"/>
  <c r="K22" s="1"/>
  <c r="K37"/>
  <c r="K38"/>
  <c r="K54"/>
  <c r="K55" s="1"/>
  <c r="K72"/>
  <c r="K73" s="1"/>
  <c r="J34"/>
  <c r="J33"/>
  <c r="J32"/>
  <c r="J15"/>
  <c r="J16" s="1"/>
  <c r="J17" s="1"/>
  <c r="J21"/>
  <c r="J22" s="1"/>
  <c r="J37"/>
  <c r="J38"/>
  <c r="J54"/>
  <c r="J55" s="1"/>
  <c r="J72"/>
  <c r="J73" s="1"/>
  <c r="I34"/>
  <c r="I33"/>
  <c r="I32"/>
  <c r="I16"/>
  <c r="I17" s="1"/>
  <c r="I21"/>
  <c r="I22" s="1"/>
  <c r="I37"/>
  <c r="I38"/>
  <c r="I54"/>
  <c r="I55" s="1"/>
  <c r="I72"/>
  <c r="I73" s="1"/>
  <c r="H34"/>
  <c r="H33"/>
  <c r="H32"/>
  <c r="H79"/>
  <c r="H77"/>
  <c r="H78" s="1"/>
  <c r="H75"/>
  <c r="H76" s="1"/>
  <c r="H15"/>
  <c r="H16" s="1"/>
  <c r="H17" s="1"/>
  <c r="H21"/>
  <c r="H22" s="1"/>
  <c r="H37"/>
  <c r="H38"/>
  <c r="H54"/>
  <c r="H55" s="1"/>
  <c r="G34"/>
  <c r="G33"/>
  <c r="G32"/>
  <c r="G79"/>
  <c r="G77"/>
  <c r="G78" s="1"/>
  <c r="G75"/>
  <c r="G76" s="1"/>
  <c r="G15"/>
  <c r="G16" s="1"/>
  <c r="G17" s="1"/>
  <c r="G21"/>
  <c r="G22" s="1"/>
  <c r="G37"/>
  <c r="G38"/>
  <c r="G54"/>
  <c r="G55" s="1"/>
  <c r="F23"/>
  <c r="F21"/>
  <c r="F22" s="1"/>
  <c r="F15"/>
  <c r="F16"/>
  <c r="F17" s="1"/>
  <c r="F37"/>
  <c r="F38" s="1"/>
  <c r="F54"/>
  <c r="F55" s="1"/>
  <c r="F72"/>
  <c r="F73" s="1"/>
  <c r="F85" s="1"/>
  <c r="E37"/>
  <c r="E38" s="1"/>
  <c r="E15"/>
  <c r="E16" s="1"/>
  <c r="E17" s="1"/>
  <c r="D37"/>
  <c r="D38" s="1"/>
  <c r="D15"/>
  <c r="D16" s="1"/>
  <c r="D17" s="1"/>
  <c r="C37"/>
  <c r="C38" s="1"/>
  <c r="C15"/>
  <c r="C16" s="1"/>
  <c r="C17" s="1"/>
  <c r="C56"/>
  <c r="C61"/>
  <c r="C59"/>
  <c r="C60" s="1"/>
  <c r="C64" s="1"/>
  <c r="C58"/>
  <c r="C79"/>
  <c r="C77"/>
  <c r="C78" s="1"/>
  <c r="C75"/>
  <c r="C76" s="1"/>
  <c r="D56"/>
  <c r="D59"/>
  <c r="D60" s="1"/>
  <c r="D64" s="1"/>
  <c r="D58"/>
  <c r="E56"/>
  <c r="E59"/>
  <c r="E60" s="1"/>
  <c r="E64" s="1"/>
  <c r="E58"/>
  <c r="E79"/>
  <c r="E77"/>
  <c r="E78" s="1"/>
  <c r="E75"/>
  <c r="E76" s="1"/>
  <c r="D75"/>
  <c r="D76" s="1"/>
  <c r="D77"/>
  <c r="D78" s="1"/>
  <c r="E34"/>
  <c r="E33"/>
  <c r="E32"/>
  <c r="D34"/>
  <c r="D33"/>
  <c r="D32"/>
  <c r="C34"/>
  <c r="C33"/>
  <c r="C32"/>
  <c r="C21"/>
  <c r="C22" s="1"/>
  <c r="D21"/>
  <c r="D22" s="1"/>
  <c r="E21"/>
  <c r="E22" s="1"/>
  <c r="D61"/>
  <c r="E61"/>
  <c r="S79" l="1"/>
  <c r="S77"/>
  <c r="S78" s="1"/>
  <c r="S75"/>
  <c r="S76" s="1"/>
  <c r="S61"/>
  <c r="S59"/>
  <c r="S60" s="1"/>
  <c r="S58"/>
  <c r="S56"/>
  <c r="S43"/>
  <c r="S41"/>
  <c r="S42" s="1"/>
  <c r="S40"/>
  <c r="R79"/>
  <c r="R77"/>
  <c r="R78" s="1"/>
  <c r="R75"/>
  <c r="R76" s="1"/>
  <c r="R65"/>
  <c r="R54"/>
  <c r="R55" s="1"/>
  <c r="R47"/>
  <c r="R37"/>
  <c r="R38" s="1"/>
  <c r="R23"/>
  <c r="R21"/>
  <c r="R22" s="1"/>
  <c r="R15"/>
  <c r="R16" s="1"/>
  <c r="R17" s="1"/>
  <c r="Q79"/>
  <c r="Q77"/>
  <c r="Q78" s="1"/>
  <c r="Q75"/>
  <c r="Q76" s="1"/>
  <c r="Q61"/>
  <c r="Q59"/>
  <c r="Q60" s="1"/>
  <c r="Q58"/>
  <c r="Q56"/>
  <c r="Q43"/>
  <c r="Q46" s="1"/>
  <c r="Q41"/>
  <c r="Q42" s="1"/>
  <c r="Q40"/>
  <c r="P79"/>
  <c r="P77"/>
  <c r="P78" s="1"/>
  <c r="P75"/>
  <c r="P76" s="1"/>
  <c r="O79"/>
  <c r="O77"/>
  <c r="O78" s="1"/>
  <c r="O75"/>
  <c r="O76" s="1"/>
  <c r="P61"/>
  <c r="P59"/>
  <c r="P60" s="1"/>
  <c r="P58"/>
  <c r="P56"/>
  <c r="O61"/>
  <c r="O59"/>
  <c r="O60" s="1"/>
  <c r="O58"/>
  <c r="O56"/>
  <c r="P43"/>
  <c r="P46" s="1"/>
  <c r="P41"/>
  <c r="P42" s="1"/>
  <c r="P40"/>
  <c r="O43"/>
  <c r="O46" s="1"/>
  <c r="O41"/>
  <c r="O42" s="1"/>
  <c r="O40"/>
  <c r="N79"/>
  <c r="N77"/>
  <c r="N78" s="1"/>
  <c r="N75"/>
  <c r="N76" s="1"/>
  <c r="M79"/>
  <c r="M77"/>
  <c r="M78" s="1"/>
  <c r="M75"/>
  <c r="M76" s="1"/>
  <c r="N61"/>
  <c r="N59"/>
  <c r="N60" s="1"/>
  <c r="N58"/>
  <c r="N56"/>
  <c r="M61"/>
  <c r="M59"/>
  <c r="M60" s="1"/>
  <c r="M58"/>
  <c r="M56"/>
  <c r="N43"/>
  <c r="N46" s="1"/>
  <c r="N41"/>
  <c r="N42" s="1"/>
  <c r="N40"/>
  <c r="M43"/>
  <c r="M46" s="1"/>
  <c r="M41"/>
  <c r="M42" s="1"/>
  <c r="M40"/>
  <c r="L79"/>
  <c r="L77"/>
  <c r="L78" s="1"/>
  <c r="L75"/>
  <c r="L76" s="1"/>
  <c r="L61"/>
  <c r="L59"/>
  <c r="L60" s="1"/>
  <c r="L58"/>
  <c r="L56"/>
  <c r="L43"/>
  <c r="L46" s="1"/>
  <c r="L41"/>
  <c r="L42" s="1"/>
  <c r="L40"/>
  <c r="K79"/>
  <c r="K77"/>
  <c r="K78" s="1"/>
  <c r="K75"/>
  <c r="K76" s="1"/>
  <c r="K61"/>
  <c r="K59"/>
  <c r="K60" s="1"/>
  <c r="K58"/>
  <c r="K56"/>
  <c r="K43"/>
  <c r="K46" s="1"/>
  <c r="K41"/>
  <c r="K42" s="1"/>
  <c r="K40"/>
  <c r="J79"/>
  <c r="J77"/>
  <c r="J78" s="1"/>
  <c r="J75"/>
  <c r="J76" s="1"/>
  <c r="J61"/>
  <c r="J59"/>
  <c r="J60" s="1"/>
  <c r="J58"/>
  <c r="J56"/>
  <c r="J43"/>
  <c r="J46" s="1"/>
  <c r="J41"/>
  <c r="J42" s="1"/>
  <c r="J40"/>
  <c r="I79"/>
  <c r="I77"/>
  <c r="I78" s="1"/>
  <c r="I75"/>
  <c r="I76" s="1"/>
  <c r="I61"/>
  <c r="I59"/>
  <c r="I60" s="1"/>
  <c r="I58"/>
  <c r="I56"/>
  <c r="I43"/>
  <c r="I41"/>
  <c r="I42" s="1"/>
  <c r="I40"/>
  <c r="H61"/>
  <c r="H59"/>
  <c r="H60" s="1"/>
  <c r="H64" s="1"/>
  <c r="H58"/>
  <c r="H56"/>
  <c r="H43"/>
  <c r="H46" s="1"/>
  <c r="H41"/>
  <c r="H42" s="1"/>
  <c r="H40"/>
  <c r="G61"/>
  <c r="G59"/>
  <c r="G60" s="1"/>
  <c r="G64" s="1"/>
  <c r="G58"/>
  <c r="G56"/>
  <c r="G43"/>
  <c r="G46" s="1"/>
  <c r="G41"/>
  <c r="G42" s="1"/>
  <c r="G40"/>
  <c r="F79"/>
  <c r="F77"/>
  <c r="F78" s="1"/>
  <c r="F75"/>
  <c r="F76" s="1"/>
  <c r="F61"/>
  <c r="F59"/>
  <c r="F60" s="1"/>
  <c r="F64" s="1"/>
  <c r="F58"/>
  <c r="F56"/>
  <c r="F43"/>
  <c r="F46" s="1"/>
  <c r="F41"/>
  <c r="F42" s="1"/>
  <c r="F40"/>
  <c r="F34"/>
  <c r="F33"/>
  <c r="F32"/>
  <c r="E43"/>
  <c r="E46" s="1"/>
  <c r="E41"/>
  <c r="E42" s="1"/>
  <c r="E40"/>
  <c r="D43"/>
  <c r="D46" s="1"/>
  <c r="D41"/>
  <c r="D42" s="1"/>
  <c r="D40"/>
  <c r="C43"/>
  <c r="C46" s="1"/>
  <c r="C41"/>
  <c r="C42" s="1"/>
  <c r="C40"/>
  <c r="S50" l="1"/>
  <c r="S46"/>
  <c r="S68"/>
  <c r="S64"/>
  <c r="S87"/>
  <c r="S84"/>
  <c r="R43"/>
  <c r="R41"/>
  <c r="R42" s="1"/>
  <c r="R40"/>
  <c r="R61"/>
  <c r="R59"/>
  <c r="R60" s="1"/>
  <c r="R58"/>
  <c r="R56"/>
  <c r="R34"/>
  <c r="R33"/>
  <c r="R32"/>
  <c r="R29"/>
  <c r="R28"/>
  <c r="R27"/>
  <c r="R26"/>
  <c r="R87"/>
  <c r="R84"/>
  <c r="I46"/>
  <c r="I50"/>
  <c r="I64"/>
  <c r="I68"/>
  <c r="I87"/>
  <c r="I84"/>
  <c r="R68" l="1"/>
  <c r="R64"/>
  <c r="R50"/>
  <c r="R46"/>
</calcChain>
</file>

<file path=xl/sharedStrings.xml><?xml version="1.0" encoding="utf-8"?>
<sst xmlns="http://schemas.openxmlformats.org/spreadsheetml/2006/main" count="158" uniqueCount="86">
  <si>
    <t>Sample Computation</t>
  </si>
  <si>
    <t>Name of Buyer:</t>
  </si>
  <si>
    <t>Home Address:</t>
  </si>
  <si>
    <t>Unit No.:</t>
  </si>
  <si>
    <t>UnitType:</t>
  </si>
  <si>
    <t>Flat Type</t>
  </si>
  <si>
    <t>Contact No.:</t>
  </si>
  <si>
    <t>Specs:</t>
  </si>
  <si>
    <t>Floor Area:</t>
  </si>
  <si>
    <t xml:space="preserve">Scheme 1: Cash </t>
  </si>
  <si>
    <t>Total Contract Price</t>
  </si>
  <si>
    <t>Less 10% Discount</t>
  </si>
  <si>
    <t>Net Discounted Price</t>
  </si>
  <si>
    <t>Scheme 2: Cash Payable within 6 months</t>
  </si>
  <si>
    <t>Monthly Amortization  ( 6 mos. )</t>
  </si>
  <si>
    <t>20% Down Payment</t>
  </si>
  <si>
    <t xml:space="preserve">5 Years </t>
  </si>
  <si>
    <t>EDSA GRAND RESIDENCES</t>
  </si>
  <si>
    <t>Net Contract Price</t>
  </si>
  <si>
    <t xml:space="preserve">Scheme 4 </t>
  </si>
  <si>
    <t>5 years</t>
  </si>
  <si>
    <t>8 years</t>
  </si>
  <si>
    <t>Scheme 5</t>
  </si>
  <si>
    <t>Less 1% Discount</t>
  </si>
  <si>
    <t>Net CP</t>
  </si>
  <si>
    <t>Scheme 6</t>
  </si>
  <si>
    <t>Less 2% Discount</t>
  </si>
  <si>
    <t>Less 3% Discount</t>
  </si>
  <si>
    <t>Sample Computation of 80% through LBC Bank</t>
  </si>
  <si>
    <t>80% Balance Payable thru LBC Bank</t>
  </si>
  <si>
    <t>10 Years</t>
  </si>
  <si>
    <t>15 Years</t>
  </si>
  <si>
    <t>Reservation Fee</t>
  </si>
  <si>
    <t>20% DP</t>
  </si>
  <si>
    <t>30% MA</t>
  </si>
  <si>
    <t>Net 20% DP (Less RF)</t>
  </si>
  <si>
    <t>30% DP</t>
  </si>
  <si>
    <t>Net 30% DP (Less RF)</t>
  </si>
  <si>
    <t>40% Payable on the 15th month or before move-in whichever comes first</t>
  </si>
  <si>
    <t>10% DP (1 time payment)</t>
  </si>
  <si>
    <t>1BR</t>
  </si>
  <si>
    <t>1br</t>
  </si>
  <si>
    <t>Monthly Amortization (payable in 15 months)</t>
  </si>
  <si>
    <t>2br</t>
  </si>
  <si>
    <t>combine 2 T&amp;B</t>
  </si>
  <si>
    <t>Bi-Level</t>
  </si>
  <si>
    <t>1802 / 1803</t>
  </si>
  <si>
    <t>3br</t>
  </si>
  <si>
    <t>studio</t>
  </si>
  <si>
    <t>Less 5% Discount</t>
  </si>
  <si>
    <t>Sample Computation of 80% through In-House Financing</t>
  </si>
  <si>
    <t>10 years</t>
  </si>
  <si>
    <t>15 years</t>
  </si>
  <si>
    <t>Scheme 3: No DP, No RF 20% (23mos. ),80%(payable on the 16th month or before move-in, whichever comes first, thru bank financing )</t>
  </si>
  <si>
    <t>80% Balance Payable thru Finacing</t>
  </si>
  <si>
    <t xml:space="preserve">5 years </t>
  </si>
  <si>
    <t>In-House Financing</t>
  </si>
  <si>
    <t>Bank Financing</t>
  </si>
  <si>
    <t>zation payable in 23 mos.</t>
  </si>
  <si>
    <t>26.57 sq.m</t>
  </si>
  <si>
    <t>26.75 sq.m</t>
  </si>
  <si>
    <t>26.55 sq.m</t>
  </si>
  <si>
    <t>1802-1803</t>
  </si>
  <si>
    <t>combine unit</t>
  </si>
  <si>
    <t>61.72 sq.m</t>
  </si>
  <si>
    <t>34.19 sq.m</t>
  </si>
  <si>
    <t>2BR</t>
  </si>
  <si>
    <t xml:space="preserve">30% DP - 30% (20 mos.), 40% (payable on the 16th month or before move-in, whichever comes first, thru bank financing </t>
  </si>
  <si>
    <t>20% DP, 30% (20mos.), 50% (payable on the 15th month or before move-in, whichever comes first, thru bank financing or in house financing</t>
  </si>
  <si>
    <t>Scheme 3: No DP, No RF 20% (20mos. ),80%(payable on the 16th month or before move-in, whichever comes first, thru bank financing )</t>
  </si>
  <si>
    <t>60% Balance Payable thru Financing</t>
  </si>
  <si>
    <t>Sample Computation of 60% thru Inhouse Financing</t>
  </si>
  <si>
    <t>Sample Computation of 60% through LBC Bank</t>
  </si>
  <si>
    <t>Sample Computation of 50% thru In-House</t>
  </si>
  <si>
    <t>50% Balance Payable thru Financing</t>
  </si>
  <si>
    <t>Sample Computation of 50% through LBC Bank</t>
  </si>
  <si>
    <t>10% DP, 30% (24 mos), 60% (payable on the 16th month or before move-in, whichever comes first, thru bank financing )</t>
  </si>
  <si>
    <t>30% payable in 23 mos.</t>
  </si>
  <si>
    <t>Monthly Amortization (payable in 24 months)</t>
  </si>
  <si>
    <t>30% MA payable in 23 months</t>
  </si>
  <si>
    <t>23.77 sqm.</t>
  </si>
  <si>
    <t>33.05 sqm.</t>
  </si>
  <si>
    <t>47.20 sqm.</t>
  </si>
  <si>
    <t>Marie AnnE. Fonseca</t>
  </si>
  <si>
    <t>09215276263/09275650217</t>
  </si>
  <si>
    <t>Property Consultant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</si>
</sst>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</font>
    <font>
      <sz val="11"/>
      <name val="Calibri"/>
      <family val="2"/>
      <scheme val="minor"/>
    </font>
    <font>
      <b/>
      <sz val="10.5"/>
      <name val="Arial"/>
      <family val="2"/>
    </font>
    <font>
      <sz val="10.5"/>
      <name val="Arial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9">
    <xf numFmtId="0" fontId="0" fillId="0" borderId="0" xfId="0"/>
    <xf numFmtId="0" fontId="4" fillId="0" borderId="0" xfId="0" applyFont="1"/>
    <xf numFmtId="0" fontId="6" fillId="0" borderId="0" xfId="2" applyFont="1" applyBorder="1"/>
    <xf numFmtId="0" fontId="6" fillId="0" borderId="0" xfId="2" applyFont="1" applyBorder="1" applyAlignment="1">
      <alignment horizontal="right"/>
    </xf>
    <xf numFmtId="0" fontId="6" fillId="0" borderId="0" xfId="2" applyFont="1" applyBorder="1" applyAlignment="1">
      <alignment horizontal="center"/>
    </xf>
    <xf numFmtId="4" fontId="6" fillId="0" borderId="0" xfId="2" applyNumberFormat="1" applyFont="1" applyBorder="1" applyAlignment="1">
      <alignment horizontal="center"/>
    </xf>
    <xf numFmtId="0" fontId="7" fillId="0" borderId="0" xfId="0" applyFont="1"/>
    <xf numFmtId="0" fontId="8" fillId="0" borderId="1" xfId="0" applyFont="1" applyBorder="1"/>
    <xf numFmtId="0" fontId="8" fillId="0" borderId="2" xfId="0" applyFont="1" applyBorder="1"/>
    <xf numFmtId="43" fontId="8" fillId="0" borderId="3" xfId="1" applyFont="1" applyBorder="1"/>
    <xf numFmtId="0" fontId="4" fillId="0" borderId="1" xfId="0" applyFont="1" applyBorder="1"/>
    <xf numFmtId="0" fontId="4" fillId="0" borderId="2" xfId="0" applyFont="1" applyBorder="1"/>
    <xf numFmtId="43" fontId="4" fillId="0" borderId="3" xfId="1" applyFont="1" applyBorder="1"/>
    <xf numFmtId="0" fontId="4" fillId="0" borderId="4" xfId="0" applyFont="1" applyBorder="1"/>
    <xf numFmtId="0" fontId="4" fillId="0" borderId="6" xfId="0" applyFont="1" applyBorder="1"/>
    <xf numFmtId="43" fontId="4" fillId="0" borderId="7" xfId="1" applyFont="1" applyBorder="1"/>
    <xf numFmtId="43" fontId="4" fillId="0" borderId="0" xfId="1" applyFont="1"/>
    <xf numFmtId="0" fontId="9" fillId="0" borderId="0" xfId="0" applyFont="1"/>
    <xf numFmtId="0" fontId="10" fillId="0" borderId="0" xfId="0" applyFont="1"/>
    <xf numFmtId="0" fontId="8" fillId="0" borderId="3" xfId="0" applyFont="1" applyBorder="1"/>
    <xf numFmtId="0" fontId="4" fillId="0" borderId="3" xfId="0" applyFont="1" applyBorder="1"/>
    <xf numFmtId="43" fontId="4" fillId="0" borderId="3" xfId="0" applyNumberFormat="1" applyFont="1" applyBorder="1"/>
    <xf numFmtId="0" fontId="7" fillId="0" borderId="1" xfId="0" applyFont="1" applyBorder="1"/>
    <xf numFmtId="0" fontId="11" fillId="0" borderId="2" xfId="0" applyFont="1" applyBorder="1"/>
    <xf numFmtId="0" fontId="12" fillId="0" borderId="2" xfId="0" applyFont="1" applyBorder="1"/>
    <xf numFmtId="0" fontId="8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8" fillId="0" borderId="0" xfId="0" applyFont="1" applyBorder="1"/>
    <xf numFmtId="0" fontId="7" fillId="0" borderId="0" xfId="0" applyFont="1" applyBorder="1"/>
    <xf numFmtId="0" fontId="8" fillId="0" borderId="0" xfId="0" applyFont="1" applyAlignment="1">
      <alignment horizontal="center"/>
    </xf>
    <xf numFmtId="0" fontId="5" fillId="0" borderId="0" xfId="2" applyFont="1" applyBorder="1" applyAlignment="1">
      <alignment horizontal="center"/>
    </xf>
    <xf numFmtId="0" fontId="6" fillId="0" borderId="0" xfId="2" applyFont="1" applyBorder="1" applyAlignment="1">
      <alignment horizontal="left"/>
    </xf>
    <xf numFmtId="43" fontId="0" fillId="0" borderId="0" xfId="0" applyNumberFormat="1"/>
    <xf numFmtId="43" fontId="4" fillId="0" borderId="0" xfId="1" applyFont="1" applyBorder="1"/>
    <xf numFmtId="0" fontId="5" fillId="0" borderId="0" xfId="2" applyFont="1" applyBorder="1" applyAlignment="1">
      <alignment horizontal="center"/>
    </xf>
    <xf numFmtId="0" fontId="5" fillId="0" borderId="0" xfId="2" applyFont="1" applyBorder="1" applyAlignment="1">
      <alignment horizontal="center"/>
    </xf>
    <xf numFmtId="0" fontId="5" fillId="0" borderId="0" xfId="2" applyFont="1" applyBorder="1" applyAlignment="1">
      <alignment horizontal="center"/>
    </xf>
    <xf numFmtId="0" fontId="6" fillId="0" borderId="0" xfId="2" applyFont="1" applyBorder="1" applyAlignment="1">
      <alignment horizontal="left"/>
    </xf>
    <xf numFmtId="0" fontId="8" fillId="0" borderId="7" xfId="0" applyFont="1" applyBorder="1"/>
    <xf numFmtId="0" fontId="8" fillId="0" borderId="5" xfId="0" applyFont="1" applyBorder="1"/>
    <xf numFmtId="0" fontId="5" fillId="0" borderId="0" xfId="2" applyFont="1" applyBorder="1" applyAlignment="1">
      <alignment horizontal="center"/>
    </xf>
    <xf numFmtId="43" fontId="8" fillId="0" borderId="8" xfId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5" fillId="0" borderId="0" xfId="2" applyFont="1" applyBorder="1" applyAlignment="1">
      <alignment horizontal="center"/>
    </xf>
    <xf numFmtId="0" fontId="6" fillId="0" borderId="0" xfId="2" applyFont="1" applyBorder="1" applyAlignment="1">
      <alignment horizontal="left"/>
    </xf>
    <xf numFmtId="43" fontId="8" fillId="0" borderId="8" xfId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3"/>
  <sheetViews>
    <sheetView tabSelected="1" topLeftCell="A83" workbookViewId="0">
      <selection activeCell="A91" sqref="A91"/>
    </sheetView>
  </sheetViews>
  <sheetFormatPr defaultRowHeight="15"/>
  <cols>
    <col min="1" max="1" width="13.42578125" style="1" customWidth="1"/>
    <col min="2" max="2" width="30.7109375" style="1" customWidth="1"/>
    <col min="3" max="3" width="16" style="1" hidden="1" customWidth="1"/>
    <col min="4" max="4" width="16.85546875" style="1" hidden="1" customWidth="1"/>
    <col min="5" max="5" width="22.85546875" style="1" hidden="1" customWidth="1"/>
    <col min="6" max="6" width="16.85546875" style="1" hidden="1" customWidth="1"/>
    <col min="7" max="7" width="19.140625" style="1" hidden="1" customWidth="1"/>
    <col min="8" max="8" width="15.85546875" style="1" hidden="1" customWidth="1"/>
    <col min="9" max="9" width="19" style="1" customWidth="1"/>
    <col min="10" max="10" width="13.85546875" style="1" hidden="1" customWidth="1"/>
    <col min="11" max="11" width="16.85546875" style="1" hidden="1" customWidth="1"/>
    <col min="12" max="12" width="14.7109375" style="1" hidden="1" customWidth="1"/>
    <col min="13" max="13" width="15.28515625" style="1" hidden="1" customWidth="1"/>
    <col min="14" max="14" width="13.42578125" style="1" hidden="1" customWidth="1"/>
    <col min="15" max="15" width="15.85546875" style="1" hidden="1" customWidth="1"/>
    <col min="16" max="16" width="18.42578125" style="1" hidden="1" customWidth="1"/>
    <col min="17" max="17" width="14.85546875" style="1" hidden="1" customWidth="1"/>
    <col min="18" max="18" width="17.5703125" style="1" customWidth="1"/>
    <col min="19" max="19" width="15.140625" style="1" customWidth="1"/>
    <col min="20" max="16384" width="9.140625" style="1"/>
  </cols>
  <sheetData>
    <row r="1" spans="1:19" ht="65.25" customHeight="1">
      <c r="A1" s="44" t="s">
        <v>17</v>
      </c>
      <c r="B1" s="44"/>
      <c r="C1" s="44"/>
      <c r="D1" s="44"/>
      <c r="E1" s="44"/>
    </row>
    <row r="2" spans="1:19">
      <c r="A2" s="45" t="s">
        <v>0</v>
      </c>
      <c r="B2" s="45"/>
      <c r="C2" s="45"/>
      <c r="D2" s="45"/>
      <c r="E2" s="45"/>
    </row>
    <row r="3" spans="1:19">
      <c r="A3" s="46" t="s">
        <v>1</v>
      </c>
      <c r="B3" s="46"/>
      <c r="C3" s="2"/>
    </row>
    <row r="4" spans="1:19">
      <c r="A4" s="38" t="s">
        <v>2</v>
      </c>
      <c r="B4" s="3" t="s">
        <v>3</v>
      </c>
      <c r="C4" s="37">
        <v>1012</v>
      </c>
      <c r="D4" s="37">
        <v>1011</v>
      </c>
      <c r="E4" s="37">
        <v>1913</v>
      </c>
      <c r="F4" s="37">
        <v>1504</v>
      </c>
      <c r="G4" s="37">
        <v>1908</v>
      </c>
      <c r="H4" s="37">
        <v>1612</v>
      </c>
      <c r="I4" s="37">
        <v>1923</v>
      </c>
      <c r="J4" s="37" t="s">
        <v>46</v>
      </c>
      <c r="K4" s="37">
        <v>2101</v>
      </c>
      <c r="L4" s="37">
        <v>2212</v>
      </c>
      <c r="M4" s="30">
        <v>1824</v>
      </c>
      <c r="N4" s="30">
        <v>2606</v>
      </c>
      <c r="O4" s="37">
        <v>1719</v>
      </c>
      <c r="P4" s="37">
        <v>2220</v>
      </c>
      <c r="Q4" s="37">
        <v>2103</v>
      </c>
      <c r="R4" s="37">
        <v>1911</v>
      </c>
      <c r="S4" s="41">
        <v>1908</v>
      </c>
    </row>
    <row r="5" spans="1:19">
      <c r="A5" s="2"/>
      <c r="B5" s="3" t="s">
        <v>4</v>
      </c>
      <c r="C5" s="4" t="s">
        <v>5</v>
      </c>
      <c r="D5" s="4" t="s">
        <v>5</v>
      </c>
      <c r="E5" s="4" t="s">
        <v>5</v>
      </c>
      <c r="F5" s="4" t="s">
        <v>5</v>
      </c>
      <c r="G5" s="4" t="s">
        <v>5</v>
      </c>
      <c r="H5" s="4" t="s">
        <v>5</v>
      </c>
      <c r="I5" s="4" t="s">
        <v>5</v>
      </c>
      <c r="J5" s="4" t="s">
        <v>45</v>
      </c>
      <c r="K5" s="4" t="s">
        <v>5</v>
      </c>
      <c r="L5" s="4" t="s">
        <v>5</v>
      </c>
      <c r="M5" s="4" t="s">
        <v>5</v>
      </c>
      <c r="N5" s="4" t="s">
        <v>5</v>
      </c>
      <c r="O5" s="4" t="s">
        <v>5</v>
      </c>
      <c r="P5" s="4" t="s">
        <v>5</v>
      </c>
      <c r="Q5" s="4" t="s">
        <v>5</v>
      </c>
      <c r="R5" s="4" t="s">
        <v>5</v>
      </c>
      <c r="S5" s="4" t="s">
        <v>5</v>
      </c>
    </row>
    <row r="6" spans="1:19">
      <c r="A6" s="2" t="s">
        <v>6</v>
      </c>
      <c r="B6" s="3" t="s">
        <v>7</v>
      </c>
      <c r="C6" s="5" t="s">
        <v>43</v>
      </c>
      <c r="D6" s="5" t="s">
        <v>41</v>
      </c>
      <c r="E6" s="5" t="s">
        <v>40</v>
      </c>
      <c r="F6" s="5" t="s">
        <v>41</v>
      </c>
      <c r="G6" s="5" t="s">
        <v>43</v>
      </c>
      <c r="H6" s="5" t="s">
        <v>44</v>
      </c>
      <c r="I6" s="5" t="s">
        <v>48</v>
      </c>
      <c r="J6" s="5" t="s">
        <v>43</v>
      </c>
      <c r="K6" s="5" t="s">
        <v>47</v>
      </c>
      <c r="L6" s="5" t="s">
        <v>43</v>
      </c>
      <c r="M6" s="5" t="s">
        <v>48</v>
      </c>
      <c r="N6" s="5" t="s">
        <v>47</v>
      </c>
      <c r="O6" s="5" t="s">
        <v>41</v>
      </c>
      <c r="P6" s="5" t="s">
        <v>43</v>
      </c>
      <c r="Q6" s="5" t="s">
        <v>41</v>
      </c>
      <c r="R6" s="5" t="s">
        <v>40</v>
      </c>
      <c r="S6" s="5" t="s">
        <v>66</v>
      </c>
    </row>
    <row r="7" spans="1:19">
      <c r="B7" s="3" t="s">
        <v>8</v>
      </c>
      <c r="C7" s="5">
        <v>51.34</v>
      </c>
      <c r="D7" s="5">
        <v>33.049999999999997</v>
      </c>
      <c r="E7" s="5">
        <v>31.59</v>
      </c>
      <c r="F7" s="5">
        <v>34.19</v>
      </c>
      <c r="G7" s="5">
        <v>47.2</v>
      </c>
      <c r="H7" s="5">
        <v>61.72</v>
      </c>
      <c r="I7" s="48" t="s">
        <v>80</v>
      </c>
      <c r="J7" s="48"/>
      <c r="K7" s="48"/>
      <c r="L7" s="5">
        <v>51.34</v>
      </c>
      <c r="M7" s="5">
        <v>23.74</v>
      </c>
      <c r="N7" s="5">
        <v>64.88</v>
      </c>
      <c r="O7" s="5">
        <v>26.55</v>
      </c>
      <c r="P7" s="5">
        <v>46.21</v>
      </c>
      <c r="Q7" s="5" t="s">
        <v>65</v>
      </c>
      <c r="R7" s="43" t="s">
        <v>81</v>
      </c>
      <c r="S7" s="43" t="s">
        <v>82</v>
      </c>
    </row>
    <row r="8" spans="1:19" ht="18.75">
      <c r="A8" s="6" t="s">
        <v>9</v>
      </c>
      <c r="B8" s="6"/>
      <c r="I8" s="16"/>
      <c r="Q8" s="16"/>
      <c r="R8" s="16"/>
      <c r="S8" s="16"/>
    </row>
    <row r="9" spans="1:19">
      <c r="A9" s="7" t="s">
        <v>10</v>
      </c>
      <c r="B9" s="8"/>
      <c r="C9" s="9">
        <v>4363900</v>
      </c>
      <c r="D9" s="9">
        <v>2809250</v>
      </c>
      <c r="E9" s="9">
        <v>2367783.4700000002</v>
      </c>
      <c r="F9" s="9">
        <v>2906150</v>
      </c>
      <c r="G9" s="9">
        <v>4240525.33</v>
      </c>
      <c r="H9" s="9">
        <v>5404027.0199999996</v>
      </c>
      <c r="I9" s="47">
        <v>2058482</v>
      </c>
      <c r="J9" s="47"/>
      <c r="K9" s="47"/>
      <c r="L9" s="9">
        <v>4567155.63</v>
      </c>
      <c r="M9" s="9">
        <v>2064838.88</v>
      </c>
      <c r="N9" s="9">
        <v>6188719.4500000002</v>
      </c>
      <c r="O9" s="9">
        <v>2296575</v>
      </c>
      <c r="P9" s="9">
        <v>4251320</v>
      </c>
      <c r="Q9" s="9">
        <v>3023858.82</v>
      </c>
      <c r="R9" s="42">
        <v>2961977.94</v>
      </c>
      <c r="S9" s="42">
        <v>4240525.33</v>
      </c>
    </row>
    <row r="10" spans="1:19">
      <c r="A10" s="10" t="s">
        <v>11</v>
      </c>
      <c r="B10" s="11"/>
      <c r="C10" s="12">
        <f t="shared" ref="C10:I10" si="0">C9*10%</f>
        <v>436390</v>
      </c>
      <c r="D10" s="12">
        <f t="shared" si="0"/>
        <v>280925</v>
      </c>
      <c r="E10" s="12">
        <f t="shared" si="0"/>
        <v>236778.34700000004</v>
      </c>
      <c r="F10" s="12">
        <f t="shared" si="0"/>
        <v>290615</v>
      </c>
      <c r="G10" s="12">
        <f t="shared" si="0"/>
        <v>424052.53300000005</v>
      </c>
      <c r="H10" s="12">
        <f t="shared" si="0"/>
        <v>540402.70199999993</v>
      </c>
      <c r="I10" s="12">
        <f t="shared" si="0"/>
        <v>205848.2</v>
      </c>
      <c r="J10" s="12">
        <f t="shared" ref="J10:P10" si="1">J9*10%</f>
        <v>0</v>
      </c>
      <c r="K10" s="12">
        <f t="shared" si="1"/>
        <v>0</v>
      </c>
      <c r="L10" s="12">
        <f t="shared" si="1"/>
        <v>456715.56300000002</v>
      </c>
      <c r="M10" s="12">
        <f t="shared" si="1"/>
        <v>206483.88800000001</v>
      </c>
      <c r="N10" s="12">
        <f t="shared" si="1"/>
        <v>618871.94500000007</v>
      </c>
      <c r="O10" s="12">
        <f t="shared" si="1"/>
        <v>229657.5</v>
      </c>
      <c r="P10" s="12">
        <f t="shared" si="1"/>
        <v>425132</v>
      </c>
      <c r="Q10" s="12">
        <f t="shared" ref="Q10:R10" si="2">Q9*10%</f>
        <v>302385.88199999998</v>
      </c>
      <c r="R10" s="12">
        <f t="shared" si="2"/>
        <v>296197.79399999999</v>
      </c>
      <c r="S10" s="12">
        <f t="shared" ref="S10" si="3">S9*10%</f>
        <v>424052.53300000005</v>
      </c>
    </row>
    <row r="11" spans="1:19">
      <c r="A11" s="13" t="s">
        <v>12</v>
      </c>
      <c r="B11" s="14"/>
      <c r="C11" s="15">
        <f t="shared" ref="C11:I11" si="4">C9-C10</f>
        <v>3927510</v>
      </c>
      <c r="D11" s="15">
        <f t="shared" si="4"/>
        <v>2528325</v>
      </c>
      <c r="E11" s="15">
        <f t="shared" si="4"/>
        <v>2131005.1230000001</v>
      </c>
      <c r="F11" s="15">
        <f t="shared" si="4"/>
        <v>2615535</v>
      </c>
      <c r="G11" s="15">
        <f t="shared" si="4"/>
        <v>3816472.7970000003</v>
      </c>
      <c r="H11" s="15">
        <f t="shared" si="4"/>
        <v>4863624.318</v>
      </c>
      <c r="I11" s="15">
        <f t="shared" si="4"/>
        <v>1852633.8</v>
      </c>
      <c r="J11" s="15">
        <f t="shared" ref="J11:P11" si="5">J9-J10</f>
        <v>0</v>
      </c>
      <c r="K11" s="15">
        <f t="shared" si="5"/>
        <v>0</v>
      </c>
      <c r="L11" s="15">
        <f t="shared" si="5"/>
        <v>4110440.0669999998</v>
      </c>
      <c r="M11" s="15">
        <f t="shared" si="5"/>
        <v>1858354.9919999999</v>
      </c>
      <c r="N11" s="15">
        <f t="shared" si="5"/>
        <v>5569847.5049999999</v>
      </c>
      <c r="O11" s="15">
        <f t="shared" si="5"/>
        <v>2066917.5</v>
      </c>
      <c r="P11" s="15">
        <f t="shared" si="5"/>
        <v>3826188</v>
      </c>
      <c r="Q11" s="15">
        <f t="shared" ref="Q11:R11" si="6">Q9-Q10</f>
        <v>2721472.9380000001</v>
      </c>
      <c r="R11" s="15">
        <f t="shared" si="6"/>
        <v>2665780.1459999997</v>
      </c>
      <c r="S11" s="15">
        <f t="shared" ref="S11" si="7">S9-S10</f>
        <v>3816472.7970000003</v>
      </c>
    </row>
    <row r="12" spans="1:19"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9" ht="18.75">
      <c r="A13" s="6" t="s">
        <v>13</v>
      </c>
      <c r="B13" s="17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:19">
      <c r="A14" s="7" t="s">
        <v>10</v>
      </c>
      <c r="B14" s="8"/>
      <c r="C14" s="9">
        <f t="shared" ref="C14:I14" si="8">C9</f>
        <v>4363900</v>
      </c>
      <c r="D14" s="9">
        <f t="shared" si="8"/>
        <v>2809250</v>
      </c>
      <c r="E14" s="9">
        <f t="shared" si="8"/>
        <v>2367783.4700000002</v>
      </c>
      <c r="F14" s="9">
        <f t="shared" si="8"/>
        <v>2906150</v>
      </c>
      <c r="G14" s="9">
        <f t="shared" si="8"/>
        <v>4240525.33</v>
      </c>
      <c r="H14" s="9">
        <f t="shared" si="8"/>
        <v>5404027.0199999996</v>
      </c>
      <c r="I14" s="9">
        <f t="shared" si="8"/>
        <v>2058482</v>
      </c>
      <c r="J14" s="9">
        <f t="shared" ref="J14:P14" si="9">J9</f>
        <v>0</v>
      </c>
      <c r="K14" s="9">
        <f t="shared" si="9"/>
        <v>0</v>
      </c>
      <c r="L14" s="9">
        <f t="shared" si="9"/>
        <v>4567155.63</v>
      </c>
      <c r="M14" s="9">
        <f t="shared" si="9"/>
        <v>2064838.88</v>
      </c>
      <c r="N14" s="9">
        <f t="shared" si="9"/>
        <v>6188719.4500000002</v>
      </c>
      <c r="O14" s="9">
        <f t="shared" si="9"/>
        <v>2296575</v>
      </c>
      <c r="P14" s="9">
        <f t="shared" si="9"/>
        <v>4251320</v>
      </c>
      <c r="Q14" s="9">
        <f t="shared" ref="Q14:R14" si="10">Q9</f>
        <v>3023858.82</v>
      </c>
      <c r="R14" s="9">
        <f t="shared" si="10"/>
        <v>2961977.94</v>
      </c>
      <c r="S14" s="9">
        <f t="shared" ref="S14" si="11">S9</f>
        <v>4240525.33</v>
      </c>
    </row>
    <row r="15" spans="1:19">
      <c r="A15" s="10" t="s">
        <v>49</v>
      </c>
      <c r="B15" s="11"/>
      <c r="C15" s="12">
        <f>C14*10%</f>
        <v>436390</v>
      </c>
      <c r="D15" s="12">
        <f t="shared" ref="D15:E15" si="12">D14*10%</f>
        <v>280925</v>
      </c>
      <c r="E15" s="12">
        <f t="shared" si="12"/>
        <v>236778.34700000004</v>
      </c>
      <c r="F15" s="12">
        <f t="shared" ref="F15:G15" si="13">F14*10%</f>
        <v>290615</v>
      </c>
      <c r="G15" s="12">
        <f t="shared" si="13"/>
        <v>424052.53300000005</v>
      </c>
      <c r="H15" s="12">
        <f t="shared" ref="H15" si="14">H14*10%</f>
        <v>540402.70199999993</v>
      </c>
      <c r="I15" s="12">
        <f>I14*5%</f>
        <v>102924.1</v>
      </c>
      <c r="J15" s="12">
        <f t="shared" ref="J15:N15" si="15">J14*10%</f>
        <v>0</v>
      </c>
      <c r="K15" s="12">
        <f t="shared" si="15"/>
        <v>0</v>
      </c>
      <c r="L15" s="12">
        <f t="shared" si="15"/>
        <v>456715.56300000002</v>
      </c>
      <c r="M15" s="12">
        <f t="shared" si="15"/>
        <v>206483.88800000001</v>
      </c>
      <c r="N15" s="12">
        <f t="shared" si="15"/>
        <v>618871.94500000007</v>
      </c>
      <c r="O15" s="12">
        <f t="shared" ref="O15:P15" si="16">O14*5%</f>
        <v>114828.75</v>
      </c>
      <c r="P15" s="12">
        <f t="shared" si="16"/>
        <v>212566</v>
      </c>
      <c r="Q15" s="12">
        <f>Q14*5%</f>
        <v>151192.94099999999</v>
      </c>
      <c r="R15" s="12">
        <f>R14*5%</f>
        <v>148098.897</v>
      </c>
      <c r="S15" s="12">
        <f>S14*5%</f>
        <v>212026.26650000003</v>
      </c>
    </row>
    <row r="16" spans="1:19">
      <c r="A16" s="7" t="s">
        <v>12</v>
      </c>
      <c r="B16" s="11"/>
      <c r="C16" s="9">
        <f t="shared" ref="C16:I16" si="17">C14-C15</f>
        <v>3927510</v>
      </c>
      <c r="D16" s="9">
        <f t="shared" si="17"/>
        <v>2528325</v>
      </c>
      <c r="E16" s="9">
        <f t="shared" si="17"/>
        <v>2131005.1230000001</v>
      </c>
      <c r="F16" s="9">
        <f t="shared" si="17"/>
        <v>2615535</v>
      </c>
      <c r="G16" s="9">
        <f t="shared" si="17"/>
        <v>3816472.7970000003</v>
      </c>
      <c r="H16" s="9">
        <f t="shared" si="17"/>
        <v>4863624.318</v>
      </c>
      <c r="I16" s="9">
        <f t="shared" si="17"/>
        <v>1955557.9</v>
      </c>
      <c r="J16" s="9">
        <f t="shared" ref="J16:P16" si="18">J14-J15</f>
        <v>0</v>
      </c>
      <c r="K16" s="9">
        <f t="shared" si="18"/>
        <v>0</v>
      </c>
      <c r="L16" s="9">
        <f t="shared" si="18"/>
        <v>4110440.0669999998</v>
      </c>
      <c r="M16" s="9">
        <f t="shared" si="18"/>
        <v>1858354.9919999999</v>
      </c>
      <c r="N16" s="9">
        <f t="shared" si="18"/>
        <v>5569847.5049999999</v>
      </c>
      <c r="O16" s="9">
        <f t="shared" si="18"/>
        <v>2181746.25</v>
      </c>
      <c r="P16" s="9">
        <f t="shared" si="18"/>
        <v>4038754</v>
      </c>
      <c r="Q16" s="9">
        <f t="shared" ref="Q16:R16" si="19">Q14-Q15</f>
        <v>2872665.8789999997</v>
      </c>
      <c r="R16" s="9">
        <f t="shared" si="19"/>
        <v>2813879.0430000001</v>
      </c>
      <c r="S16" s="9">
        <f t="shared" ref="S16" si="20">S14-S15</f>
        <v>4028499.0635000002</v>
      </c>
    </row>
    <row r="17" spans="1:19">
      <c r="A17" s="7" t="s">
        <v>14</v>
      </c>
      <c r="B17" s="11"/>
      <c r="C17" s="9">
        <f t="shared" ref="C17:I17" si="21">C16/6</f>
        <v>654585</v>
      </c>
      <c r="D17" s="9">
        <f t="shared" si="21"/>
        <v>421387.5</v>
      </c>
      <c r="E17" s="9">
        <f t="shared" si="21"/>
        <v>355167.52050000004</v>
      </c>
      <c r="F17" s="9">
        <f t="shared" si="21"/>
        <v>435922.5</v>
      </c>
      <c r="G17" s="9">
        <f t="shared" si="21"/>
        <v>636078.79950000008</v>
      </c>
      <c r="H17" s="9">
        <f t="shared" si="21"/>
        <v>810604.05299999996</v>
      </c>
      <c r="I17" s="9">
        <f t="shared" si="21"/>
        <v>325926.31666666665</v>
      </c>
      <c r="J17" s="9">
        <f t="shared" ref="J17:P17" si="22">J16/6</f>
        <v>0</v>
      </c>
      <c r="K17" s="9">
        <f t="shared" si="22"/>
        <v>0</v>
      </c>
      <c r="L17" s="9">
        <f t="shared" si="22"/>
        <v>685073.34450000001</v>
      </c>
      <c r="M17" s="9">
        <f t="shared" si="22"/>
        <v>309725.83199999999</v>
      </c>
      <c r="N17" s="9">
        <f t="shared" si="22"/>
        <v>928307.91749999998</v>
      </c>
      <c r="O17" s="9">
        <f t="shared" si="22"/>
        <v>363624.375</v>
      </c>
      <c r="P17" s="9">
        <f t="shared" si="22"/>
        <v>673125.66666666663</v>
      </c>
      <c r="Q17" s="9">
        <f t="shared" ref="Q17:R17" si="23">Q16/6</f>
        <v>478777.64649999997</v>
      </c>
      <c r="R17" s="9">
        <f t="shared" si="23"/>
        <v>468979.84049999999</v>
      </c>
      <c r="S17" s="9">
        <f t="shared" ref="S17" si="24">S16/6</f>
        <v>671416.51058333332</v>
      </c>
    </row>
    <row r="18" spans="1:19"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</row>
    <row r="19" spans="1:19">
      <c r="A19" s="18" t="s">
        <v>69</v>
      </c>
      <c r="C19" s="16"/>
      <c r="D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</row>
    <row r="20" spans="1:19">
      <c r="A20" s="7" t="s">
        <v>10</v>
      </c>
      <c r="B20" s="8"/>
      <c r="C20" s="9">
        <f>C9</f>
        <v>4363900</v>
      </c>
      <c r="D20" s="9">
        <f>D9</f>
        <v>2809250</v>
      </c>
      <c r="E20" s="9">
        <f>E14</f>
        <v>2367783.4700000002</v>
      </c>
      <c r="F20" s="9">
        <f>F14</f>
        <v>2906150</v>
      </c>
      <c r="G20" s="9">
        <f>G9</f>
        <v>4240525.33</v>
      </c>
      <c r="H20" s="9">
        <f>H9</f>
        <v>5404027.0199999996</v>
      </c>
      <c r="I20" s="9">
        <f>I9</f>
        <v>2058482</v>
      </c>
      <c r="J20" s="9">
        <f t="shared" ref="J20" si="25">J9</f>
        <v>0</v>
      </c>
      <c r="K20" s="9">
        <f>K9</f>
        <v>0</v>
      </c>
      <c r="L20" s="9">
        <f>L9</f>
        <v>4567155.63</v>
      </c>
      <c r="M20" s="9">
        <f t="shared" ref="M20:P20" si="26">M9</f>
        <v>2064838.88</v>
      </c>
      <c r="N20" s="9">
        <f t="shared" si="26"/>
        <v>6188719.4500000002</v>
      </c>
      <c r="O20" s="9">
        <f t="shared" si="26"/>
        <v>2296575</v>
      </c>
      <c r="P20" s="9">
        <f t="shared" si="26"/>
        <v>4251320</v>
      </c>
      <c r="Q20" s="9">
        <f>Q9</f>
        <v>3023858.82</v>
      </c>
      <c r="R20" s="9">
        <f>R9</f>
        <v>2961977.94</v>
      </c>
      <c r="S20" s="9">
        <f>S9</f>
        <v>4240525.33</v>
      </c>
    </row>
    <row r="21" spans="1:19">
      <c r="A21" s="10" t="s">
        <v>15</v>
      </c>
      <c r="B21" s="11"/>
      <c r="C21" s="12">
        <f t="shared" ref="C21:I21" si="27">C20*20%</f>
        <v>872780</v>
      </c>
      <c r="D21" s="12">
        <f t="shared" si="27"/>
        <v>561850</v>
      </c>
      <c r="E21" s="12">
        <f t="shared" si="27"/>
        <v>473556.69400000008</v>
      </c>
      <c r="F21" s="12">
        <f t="shared" si="27"/>
        <v>581230</v>
      </c>
      <c r="G21" s="12">
        <f t="shared" si="27"/>
        <v>848105.06600000011</v>
      </c>
      <c r="H21" s="12">
        <f t="shared" si="27"/>
        <v>1080805.4039999999</v>
      </c>
      <c r="I21" s="12">
        <f t="shared" si="27"/>
        <v>411696.4</v>
      </c>
      <c r="J21" s="12">
        <f t="shared" ref="J21:P21" si="28">J20*20%</f>
        <v>0</v>
      </c>
      <c r="K21" s="12">
        <f t="shared" si="28"/>
        <v>0</v>
      </c>
      <c r="L21" s="12">
        <f t="shared" si="28"/>
        <v>913431.12600000005</v>
      </c>
      <c r="M21" s="12">
        <f t="shared" si="28"/>
        <v>412967.77600000001</v>
      </c>
      <c r="N21" s="12">
        <f t="shared" si="28"/>
        <v>1237743.8900000001</v>
      </c>
      <c r="O21" s="12">
        <f t="shared" si="28"/>
        <v>459315</v>
      </c>
      <c r="P21" s="12">
        <f t="shared" si="28"/>
        <v>850264</v>
      </c>
      <c r="Q21" s="12">
        <f t="shared" ref="Q21:R21" si="29">Q20*20%</f>
        <v>604771.76399999997</v>
      </c>
      <c r="R21" s="12">
        <f t="shared" si="29"/>
        <v>592395.58799999999</v>
      </c>
      <c r="S21" s="12">
        <f t="shared" ref="S21" si="30">S20*20%</f>
        <v>848105.06600000011</v>
      </c>
    </row>
    <row r="22" spans="1:19">
      <c r="A22" s="10" t="s">
        <v>78</v>
      </c>
      <c r="B22" s="11"/>
      <c r="C22" s="9">
        <f>C21/15</f>
        <v>58185.333333333336</v>
      </c>
      <c r="D22" s="9">
        <f t="shared" ref="D22:F22" si="31">D21/15</f>
        <v>37456.666666666664</v>
      </c>
      <c r="E22" s="9">
        <f t="shared" si="31"/>
        <v>31570.446266666673</v>
      </c>
      <c r="F22" s="9">
        <f t="shared" si="31"/>
        <v>38748.666666666664</v>
      </c>
      <c r="G22" s="9">
        <f t="shared" ref="G22:H22" si="32">G21/15</f>
        <v>56540.337733333341</v>
      </c>
      <c r="H22" s="9">
        <f t="shared" si="32"/>
        <v>72053.693599999984</v>
      </c>
      <c r="I22" s="9">
        <f>I21/24</f>
        <v>17154.016666666666</v>
      </c>
      <c r="J22" s="9">
        <f t="shared" ref="J22" si="33">J21/15</f>
        <v>0</v>
      </c>
      <c r="K22" s="9">
        <f t="shared" ref="K22:P22" si="34">K21/15</f>
        <v>0</v>
      </c>
      <c r="L22" s="9">
        <f t="shared" si="34"/>
        <v>60895.4084</v>
      </c>
      <c r="M22" s="9">
        <f t="shared" si="34"/>
        <v>27531.185066666669</v>
      </c>
      <c r="N22" s="9">
        <f t="shared" si="34"/>
        <v>82516.259333333335</v>
      </c>
      <c r="O22" s="9">
        <f t="shared" si="34"/>
        <v>30621</v>
      </c>
      <c r="P22" s="9">
        <f t="shared" si="34"/>
        <v>56684.26666666667</v>
      </c>
      <c r="Q22" s="9">
        <f>Q21/23</f>
        <v>26294.424521739129</v>
      </c>
      <c r="R22" s="9">
        <f>R21/24</f>
        <v>24683.1495</v>
      </c>
      <c r="S22" s="9">
        <f>S21/24</f>
        <v>35337.711083333335</v>
      </c>
    </row>
    <row r="23" spans="1:19">
      <c r="A23" s="19" t="s">
        <v>29</v>
      </c>
      <c r="B23" s="20"/>
      <c r="C23" s="12">
        <f>C20*80%</f>
        <v>3491120</v>
      </c>
      <c r="D23" s="12">
        <f t="shared" ref="D23:E23" si="35">D20*80%</f>
        <v>2247400</v>
      </c>
      <c r="E23" s="12">
        <f t="shared" si="35"/>
        <v>1894226.7760000003</v>
      </c>
      <c r="F23" s="12">
        <f t="shared" ref="F23:G23" si="36">F20*80%</f>
        <v>2324920</v>
      </c>
      <c r="G23" s="12">
        <f t="shared" si="36"/>
        <v>3392420.2640000004</v>
      </c>
      <c r="H23" s="12">
        <f t="shared" ref="H23:I23" si="37">H20*80%</f>
        <v>4323221.6159999995</v>
      </c>
      <c r="I23" s="12">
        <f t="shared" si="37"/>
        <v>1646785.6</v>
      </c>
      <c r="J23" s="12">
        <f t="shared" ref="J23:P23" si="38">J20*80%</f>
        <v>0</v>
      </c>
      <c r="K23" s="12">
        <f t="shared" si="38"/>
        <v>0</v>
      </c>
      <c r="L23" s="12">
        <f t="shared" si="38"/>
        <v>3653724.5040000002</v>
      </c>
      <c r="M23" s="12">
        <f t="shared" si="38"/>
        <v>1651871.1040000001</v>
      </c>
      <c r="N23" s="12">
        <f t="shared" si="38"/>
        <v>4950975.5600000005</v>
      </c>
      <c r="O23" s="12">
        <f t="shared" si="38"/>
        <v>1837260</v>
      </c>
      <c r="P23" s="12">
        <f t="shared" si="38"/>
        <v>3401056</v>
      </c>
      <c r="Q23" s="12">
        <f t="shared" ref="Q23:R23" si="39">Q20*80%</f>
        <v>2419087.0559999999</v>
      </c>
      <c r="R23" s="12">
        <f t="shared" si="39"/>
        <v>2369582.352</v>
      </c>
      <c r="S23" s="12">
        <f t="shared" ref="S23" si="40">S20*80%</f>
        <v>3392420.2640000004</v>
      </c>
    </row>
    <row r="24" spans="1:19">
      <c r="A24" s="7"/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>
      <c r="A25" s="7" t="s">
        <v>50</v>
      </c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>
      <c r="A26" s="7" t="s">
        <v>20</v>
      </c>
      <c r="B26" s="11"/>
      <c r="C26" s="12"/>
      <c r="D26" s="12"/>
      <c r="E26" s="12"/>
      <c r="F26" s="12"/>
      <c r="G26" s="12"/>
      <c r="H26" s="12"/>
      <c r="I26" s="12">
        <f>I23*0.023632747</f>
        <v>38918.067448043199</v>
      </c>
      <c r="J26" s="12"/>
      <c r="K26" s="12"/>
      <c r="L26" s="12"/>
      <c r="M26" s="12"/>
      <c r="N26" s="12"/>
      <c r="O26" s="12">
        <f>O23*0.023632747</f>
        <v>43419.500753219996</v>
      </c>
      <c r="P26" s="12">
        <f>P23*0.023632747</f>
        <v>80376.295980832001</v>
      </c>
      <c r="Q26" s="12">
        <f>Q23*0.023632747</f>
        <v>57169.672365422826</v>
      </c>
      <c r="R26" s="12">
        <f>R23*0.023632747</f>
        <v>55999.74022048094</v>
      </c>
      <c r="S26" s="12">
        <f>S23*0.023632747</f>
        <v>80172.209816785209</v>
      </c>
    </row>
    <row r="27" spans="1:19" hidden="1">
      <c r="A27" s="7" t="s">
        <v>21</v>
      </c>
      <c r="B27" s="11"/>
      <c r="C27" s="12"/>
      <c r="D27" s="12"/>
      <c r="E27" s="12"/>
      <c r="F27" s="12"/>
      <c r="G27" s="12"/>
      <c r="H27" s="12"/>
      <c r="I27" s="12">
        <f>I23*0.018032313</f>
        <v>29695.353383092803</v>
      </c>
      <c r="J27" s="12"/>
      <c r="K27" s="12"/>
      <c r="L27" s="12"/>
      <c r="M27" s="12"/>
      <c r="N27" s="12"/>
      <c r="O27" s="12">
        <f>O23*0.018032313</f>
        <v>33130.047382380006</v>
      </c>
      <c r="P27" s="12">
        <f>P23*0.018032313</f>
        <v>61328.906322528004</v>
      </c>
      <c r="Q27" s="12">
        <f>Q23*0.018032313</f>
        <v>43621.734968040531</v>
      </c>
      <c r="R27" s="12">
        <f>R23*0.018032313</f>
        <v>42729.050650540179</v>
      </c>
      <c r="S27" s="12">
        <f>S23*0.018032313</f>
        <v>61173.184027990646</v>
      </c>
    </row>
    <row r="28" spans="1:19" hidden="1">
      <c r="A28" s="7" t="s">
        <v>51</v>
      </c>
      <c r="B28" s="11"/>
      <c r="C28" s="12"/>
      <c r="D28" s="12"/>
      <c r="E28" s="12"/>
      <c r="F28" s="12"/>
      <c r="G28" s="12"/>
      <c r="H28" s="12"/>
      <c r="I28" s="12">
        <f>I23*0.016851158</f>
        <v>27750.244337724806</v>
      </c>
      <c r="J28" s="12"/>
      <c r="K28" s="12"/>
      <c r="L28" s="12"/>
      <c r="M28" s="12"/>
      <c r="N28" s="12"/>
      <c r="O28" s="12">
        <f>O23*0.016851158</f>
        <v>30959.958547080001</v>
      </c>
      <c r="P28" s="12">
        <f>P23*0.016851158</f>
        <v>57311.732022848002</v>
      </c>
      <c r="Q28" s="12">
        <f>Q23*0.016851158</f>
        <v>40764.41819641085</v>
      </c>
      <c r="R28" s="12">
        <f>R23*0.016851158</f>
        <v>39930.206607563618</v>
      </c>
      <c r="S28" s="12">
        <f>S23*0.016851158</f>
        <v>57166.209871065723</v>
      </c>
    </row>
    <row r="29" spans="1:19" hidden="1">
      <c r="A29" s="7" t="s">
        <v>52</v>
      </c>
      <c r="B29" s="11"/>
      <c r="C29" s="12"/>
      <c r="D29" s="12"/>
      <c r="E29" s="12"/>
      <c r="F29" s="12"/>
      <c r="G29" s="12"/>
      <c r="H29" s="12"/>
      <c r="I29" s="12">
        <f>I23*0.015510687</f>
        <v>25542.775997707202</v>
      </c>
      <c r="J29" s="12"/>
      <c r="K29" s="12"/>
      <c r="L29" s="12"/>
      <c r="M29" s="12"/>
      <c r="N29" s="12"/>
      <c r="O29" s="12">
        <f>O23*0.015510687</f>
        <v>28497.16479762</v>
      </c>
      <c r="P29" s="12">
        <f>P23*0.015510687</f>
        <v>52752.715085472002</v>
      </c>
      <c r="Q29" s="12">
        <f>Q23*0.015510687</f>
        <v>37521.70215136747</v>
      </c>
      <c r="R29" s="12">
        <f>R23*0.015510687</f>
        <v>36753.850182595823</v>
      </c>
      <c r="S29" s="12">
        <f>S23*0.015510687</f>
        <v>52618.768887361373</v>
      </c>
    </row>
    <row r="30" spans="1:19">
      <c r="A30" s="7"/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>
      <c r="A31" s="19" t="s">
        <v>28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1:19">
      <c r="A32" s="10" t="s">
        <v>16</v>
      </c>
      <c r="B32" s="11"/>
      <c r="C32" s="21">
        <f>C23*0.021247044711</f>
        <v>74175.982731466327</v>
      </c>
      <c r="D32" s="21">
        <f t="shared" ref="D32:E32" si="41">D23*0.021247044711</f>
        <v>47750.608283501402</v>
      </c>
      <c r="E32" s="21">
        <f t="shared" si="41"/>
        <v>40246.721002445389</v>
      </c>
      <c r="F32" s="21">
        <f t="shared" ref="F32:G32" si="42">F23*0.021247044711</f>
        <v>49397.679189498122</v>
      </c>
      <c r="G32" s="21">
        <f t="shared" si="42"/>
        <v>72078.90502771044</v>
      </c>
      <c r="H32" s="21">
        <f t="shared" ref="H32:I32" si="43">H23*0.021247044711</f>
        <v>91855.682970713664</v>
      </c>
      <c r="I32" s="21">
        <f t="shared" si="43"/>
        <v>34989.327272630966</v>
      </c>
      <c r="J32" s="21">
        <f t="shared" ref="J32:P32" si="44">J23*0.021247044711</f>
        <v>0</v>
      </c>
      <c r="K32" s="21">
        <f t="shared" si="44"/>
        <v>0</v>
      </c>
      <c r="L32" s="21">
        <f t="shared" si="44"/>
        <v>77630.847898164313</v>
      </c>
      <c r="M32" s="21">
        <f t="shared" si="44"/>
        <v>35097.379203496937</v>
      </c>
      <c r="N32" s="21">
        <f t="shared" si="44"/>
        <v>105193.59908638828</v>
      </c>
      <c r="O32" s="21">
        <f t="shared" si="44"/>
        <v>39036.345365731861</v>
      </c>
      <c r="P32" s="21">
        <f t="shared" si="44"/>
        <v>72262.388896614822</v>
      </c>
      <c r="Q32" s="21">
        <f t="shared" ref="Q32:R32" si="45">Q23*0.021247044711</f>
        <v>51398.450838633362</v>
      </c>
      <c r="R32" s="21">
        <f t="shared" si="45"/>
        <v>50346.622179340542</v>
      </c>
      <c r="S32" s="21">
        <f t="shared" ref="S32" si="46">S23*0.021247044711</f>
        <v>72078.90502771044</v>
      </c>
    </row>
    <row r="33" spans="1:19" hidden="1">
      <c r="A33" s="10" t="s">
        <v>30</v>
      </c>
      <c r="B33" s="11"/>
      <c r="C33" s="21">
        <f>C23*0.013353900188</f>
        <v>46620.068024330561</v>
      </c>
      <c r="D33" s="21">
        <f t="shared" ref="D33:E33" si="47">D23*0.013353900188</f>
        <v>30011.555282511199</v>
      </c>
      <c r="E33" s="21">
        <f t="shared" si="47"/>
        <v>25295.315300141036</v>
      </c>
      <c r="F33" s="21">
        <f t="shared" ref="F33:G33" si="48">F23*0.013353900188</f>
        <v>31046.749625084958</v>
      </c>
      <c r="G33" s="21">
        <f t="shared" si="48"/>
        <v>45302.041601204612</v>
      </c>
      <c r="H33" s="21">
        <f t="shared" ref="H33:I33" si="49">H23*0.013353900188</f>
        <v>57731.869950668057</v>
      </c>
      <c r="I33" s="21">
        <f t="shared" si="49"/>
        <v>21991.010533435692</v>
      </c>
      <c r="J33" s="21">
        <f t="shared" ref="J33:P33" si="50">J23*0.013353900188</f>
        <v>0</v>
      </c>
      <c r="K33" s="21">
        <f t="shared" si="50"/>
        <v>0</v>
      </c>
      <c r="L33" s="21">
        <f t="shared" si="50"/>
        <v>48791.47234086581</v>
      </c>
      <c r="M33" s="21">
        <f t="shared" si="50"/>
        <v>22058.921846257366</v>
      </c>
      <c r="N33" s="21">
        <f t="shared" si="50"/>
        <v>66114.83346146741</v>
      </c>
      <c r="O33" s="21">
        <f t="shared" si="50"/>
        <v>24534.586659404878</v>
      </c>
      <c r="P33" s="21">
        <f t="shared" si="50"/>
        <v>45417.362357798527</v>
      </c>
      <c r="Q33" s="21">
        <f t="shared" ref="Q33:R33" si="51">Q23*0.013353900188</f>
        <v>32304.247091906764</v>
      </c>
      <c r="R33" s="21">
        <f t="shared" si="51"/>
        <v>31643.166215854279</v>
      </c>
      <c r="S33" s="21">
        <f t="shared" ref="S33" si="52">S23*0.013353900188</f>
        <v>45302.041601204612</v>
      </c>
    </row>
    <row r="34" spans="1:19" hidden="1">
      <c r="A34" s="10" t="s">
        <v>31</v>
      </c>
      <c r="B34" s="11"/>
      <c r="C34" s="21">
        <f>C23*0.011053989237</f>
        <v>38590.802905075441</v>
      </c>
      <c r="D34" s="21">
        <f t="shared" ref="D34:E34" si="53">D23*0.011053989237</f>
        <v>24842.7354112338</v>
      </c>
      <c r="E34" s="21">
        <f t="shared" si="53"/>
        <v>20938.762394341211</v>
      </c>
      <c r="F34" s="21">
        <f t="shared" ref="F34:G34" si="54">F23*0.011053989237</f>
        <v>25699.64065688604</v>
      </c>
      <c r="G34" s="21">
        <f t="shared" si="54"/>
        <v>37499.777085636699</v>
      </c>
      <c r="H34" s="21">
        <f t="shared" ref="H34:I34" si="55">H23*0.011053989237</f>
        <v>47788.84521242974</v>
      </c>
      <c r="I34" s="21">
        <f t="shared" si="55"/>
        <v>18203.550298046586</v>
      </c>
      <c r="J34" s="21">
        <f t="shared" ref="J34:P34" si="56">J23*0.011053989237</f>
        <v>0</v>
      </c>
      <c r="K34" s="21">
        <f t="shared" si="56"/>
        <v>0</v>
      </c>
      <c r="L34" s="21">
        <f t="shared" si="56"/>
        <v>40388.231342179162</v>
      </c>
      <c r="M34" s="21">
        <f t="shared" si="56"/>
        <v>18259.765404527308</v>
      </c>
      <c r="N34" s="21">
        <f t="shared" si="56"/>
        <v>54728.03055289005</v>
      </c>
      <c r="O34" s="21">
        <f t="shared" si="56"/>
        <v>20309.052265570619</v>
      </c>
      <c r="P34" s="21">
        <f t="shared" si="56"/>
        <v>37595.236418434273</v>
      </c>
      <c r="Q34" s="21">
        <f t="shared" ref="Q34:R34" si="57">Q23*0.011053989237</f>
        <v>26740.562280390015</v>
      </c>
      <c r="R34" s="21">
        <f t="shared" si="57"/>
        <v>26193.337815193143</v>
      </c>
      <c r="S34" s="21">
        <f t="shared" ref="S34" si="58">S23*0.011053989237</f>
        <v>37499.777085636699</v>
      </c>
    </row>
    <row r="35" spans="1:19" ht="18.75">
      <c r="A35" s="22" t="s">
        <v>19</v>
      </c>
      <c r="B35" s="23" t="s">
        <v>76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>
      <c r="A36" s="7" t="s">
        <v>10</v>
      </c>
      <c r="B36" s="11"/>
      <c r="C36" s="9">
        <f t="shared" ref="C36:I36" si="59">C9</f>
        <v>4363900</v>
      </c>
      <c r="D36" s="9">
        <f t="shared" si="59"/>
        <v>2809250</v>
      </c>
      <c r="E36" s="9">
        <f t="shared" si="59"/>
        <v>2367783.4700000002</v>
      </c>
      <c r="F36" s="9">
        <f t="shared" si="59"/>
        <v>2906150</v>
      </c>
      <c r="G36" s="9">
        <f t="shared" si="59"/>
        <v>4240525.33</v>
      </c>
      <c r="H36" s="9">
        <f t="shared" si="59"/>
        <v>5404027.0199999996</v>
      </c>
      <c r="I36" s="9">
        <f t="shared" si="59"/>
        <v>2058482</v>
      </c>
      <c r="J36" s="9">
        <f t="shared" ref="J36:P36" si="60">J9</f>
        <v>0</v>
      </c>
      <c r="K36" s="9">
        <f t="shared" si="60"/>
        <v>0</v>
      </c>
      <c r="L36" s="9">
        <f t="shared" si="60"/>
        <v>4567155.63</v>
      </c>
      <c r="M36" s="9">
        <f t="shared" si="60"/>
        <v>2064838.88</v>
      </c>
      <c r="N36" s="9">
        <f t="shared" si="60"/>
        <v>6188719.4500000002</v>
      </c>
      <c r="O36" s="9">
        <f t="shared" si="60"/>
        <v>2296575</v>
      </c>
      <c r="P36" s="9">
        <f t="shared" si="60"/>
        <v>4251320</v>
      </c>
      <c r="Q36" s="9">
        <f t="shared" ref="Q36:R36" si="61">Q9</f>
        <v>3023858.82</v>
      </c>
      <c r="R36" s="9">
        <f t="shared" si="61"/>
        <v>2961977.94</v>
      </c>
      <c r="S36" s="9">
        <f t="shared" ref="S36" si="62">S9</f>
        <v>4240525.33</v>
      </c>
    </row>
    <row r="37" spans="1:19">
      <c r="A37" s="10" t="s">
        <v>23</v>
      </c>
      <c r="B37" s="11"/>
      <c r="C37" s="21">
        <f>C36*1%</f>
        <v>43639</v>
      </c>
      <c r="D37" s="21">
        <f t="shared" ref="D37:E37" si="63">D36*1%</f>
        <v>28092.5</v>
      </c>
      <c r="E37" s="21">
        <f t="shared" si="63"/>
        <v>23677.834700000003</v>
      </c>
      <c r="F37" s="21">
        <f t="shared" ref="F37:G37" si="64">F36*1%</f>
        <v>29061.5</v>
      </c>
      <c r="G37" s="21">
        <f t="shared" si="64"/>
        <v>42405.253300000004</v>
      </c>
      <c r="H37" s="21">
        <f t="shared" ref="H37:I37" si="65">H36*1%</f>
        <v>54040.270199999999</v>
      </c>
      <c r="I37" s="21">
        <f t="shared" si="65"/>
        <v>20584.82</v>
      </c>
      <c r="J37" s="21">
        <f t="shared" ref="J37:P37" si="66">J36*1%</f>
        <v>0</v>
      </c>
      <c r="K37" s="21">
        <f t="shared" si="66"/>
        <v>0</v>
      </c>
      <c r="L37" s="21">
        <f t="shared" si="66"/>
        <v>45671.556299999997</v>
      </c>
      <c r="M37" s="21">
        <f t="shared" si="66"/>
        <v>20648.388800000001</v>
      </c>
      <c r="N37" s="21">
        <f t="shared" si="66"/>
        <v>61887.194500000005</v>
      </c>
      <c r="O37" s="21">
        <f t="shared" si="66"/>
        <v>22965.75</v>
      </c>
      <c r="P37" s="21">
        <f t="shared" si="66"/>
        <v>42513.200000000004</v>
      </c>
      <c r="Q37" s="21">
        <f t="shared" ref="Q37:R37" si="67">Q36*1%</f>
        <v>30238.588199999998</v>
      </c>
      <c r="R37" s="21">
        <f t="shared" si="67"/>
        <v>29619.779399999999</v>
      </c>
      <c r="S37" s="21">
        <f t="shared" ref="S37" si="68">S36*1%</f>
        <v>42405.253300000004</v>
      </c>
    </row>
    <row r="38" spans="1:19">
      <c r="A38" s="10" t="s">
        <v>24</v>
      </c>
      <c r="B38" s="11"/>
      <c r="C38" s="21">
        <f>C36-C37</f>
        <v>4320261</v>
      </c>
      <c r="D38" s="21">
        <f t="shared" ref="D38:E38" si="69">D36-D37</f>
        <v>2781157.5</v>
      </c>
      <c r="E38" s="21">
        <f t="shared" si="69"/>
        <v>2344105.6353000002</v>
      </c>
      <c r="F38" s="21">
        <f t="shared" ref="F38:G38" si="70">F36-F37</f>
        <v>2877088.5</v>
      </c>
      <c r="G38" s="21">
        <f t="shared" si="70"/>
        <v>4198120.0767000001</v>
      </c>
      <c r="H38" s="21">
        <f t="shared" ref="H38:I38" si="71">H36-H37</f>
        <v>5349986.7497999994</v>
      </c>
      <c r="I38" s="21">
        <f t="shared" si="71"/>
        <v>2037897.18</v>
      </c>
      <c r="J38" s="21">
        <f t="shared" ref="J38:P38" si="72">J36-J37</f>
        <v>0</v>
      </c>
      <c r="K38" s="21">
        <f t="shared" si="72"/>
        <v>0</v>
      </c>
      <c r="L38" s="21">
        <f t="shared" si="72"/>
        <v>4521484.0736999996</v>
      </c>
      <c r="M38" s="21">
        <f t="shared" si="72"/>
        <v>2044190.4911999998</v>
      </c>
      <c r="N38" s="21">
        <f t="shared" si="72"/>
        <v>6126832.2555</v>
      </c>
      <c r="O38" s="21">
        <f t="shared" si="72"/>
        <v>2273609.25</v>
      </c>
      <c r="P38" s="21">
        <f t="shared" si="72"/>
        <v>4208806.8</v>
      </c>
      <c r="Q38" s="21">
        <f t="shared" ref="Q38:R38" si="73">Q36-Q37</f>
        <v>2993620.2317999997</v>
      </c>
      <c r="R38" s="21">
        <f t="shared" si="73"/>
        <v>2932358.1606000001</v>
      </c>
      <c r="S38" s="21">
        <f t="shared" ref="S38" si="74">S36-S37</f>
        <v>4198120.0767000001</v>
      </c>
    </row>
    <row r="39" spans="1:19">
      <c r="A39" s="10" t="s">
        <v>32</v>
      </c>
      <c r="B39" s="11"/>
      <c r="C39" s="21">
        <v>25000</v>
      </c>
      <c r="D39" s="21">
        <v>25000</v>
      </c>
      <c r="E39" s="21">
        <v>25000</v>
      </c>
      <c r="F39" s="21">
        <v>25000</v>
      </c>
      <c r="G39" s="21">
        <v>25000</v>
      </c>
      <c r="H39" s="21">
        <v>25000</v>
      </c>
      <c r="I39" s="21">
        <v>25000</v>
      </c>
      <c r="J39" s="21">
        <v>25000</v>
      </c>
      <c r="K39" s="21">
        <v>25000</v>
      </c>
      <c r="L39" s="21">
        <v>25000</v>
      </c>
      <c r="M39" s="21">
        <v>25000</v>
      </c>
      <c r="N39" s="21">
        <v>25000</v>
      </c>
      <c r="O39" s="21">
        <v>25000</v>
      </c>
      <c r="P39" s="21">
        <v>25000</v>
      </c>
      <c r="Q39" s="21">
        <v>25000</v>
      </c>
      <c r="R39" s="21">
        <v>25000</v>
      </c>
      <c r="S39" s="21">
        <v>25000</v>
      </c>
    </row>
    <row r="40" spans="1:19">
      <c r="A40" s="10" t="s">
        <v>39</v>
      </c>
      <c r="B40" s="11"/>
      <c r="C40" s="21">
        <f t="shared" ref="C40:I40" si="75">C38-C39</f>
        <v>4295261</v>
      </c>
      <c r="D40" s="21">
        <f t="shared" si="75"/>
        <v>2756157.5</v>
      </c>
      <c r="E40" s="21">
        <f t="shared" si="75"/>
        <v>2319105.6353000002</v>
      </c>
      <c r="F40" s="21">
        <f t="shared" si="75"/>
        <v>2852088.5</v>
      </c>
      <c r="G40" s="21">
        <f t="shared" si="75"/>
        <v>4173120.0767000001</v>
      </c>
      <c r="H40" s="21">
        <f t="shared" si="75"/>
        <v>5324986.7497999994</v>
      </c>
      <c r="I40" s="21">
        <f t="shared" si="75"/>
        <v>2012897.18</v>
      </c>
      <c r="J40" s="21">
        <f t="shared" ref="J40:P40" si="76">J38-J39</f>
        <v>-25000</v>
      </c>
      <c r="K40" s="21">
        <f t="shared" si="76"/>
        <v>-25000</v>
      </c>
      <c r="L40" s="21">
        <f t="shared" si="76"/>
        <v>4496484.0736999996</v>
      </c>
      <c r="M40" s="21">
        <f t="shared" si="76"/>
        <v>2019190.4911999998</v>
      </c>
      <c r="N40" s="21">
        <f t="shared" si="76"/>
        <v>6101832.2555</v>
      </c>
      <c r="O40" s="21">
        <f t="shared" si="76"/>
        <v>2248609.25</v>
      </c>
      <c r="P40" s="21">
        <f t="shared" si="76"/>
        <v>4183806.8</v>
      </c>
      <c r="Q40" s="21">
        <f t="shared" ref="Q40:R40" si="77">Q38-Q39</f>
        <v>2968620.2317999997</v>
      </c>
      <c r="R40" s="21">
        <f t="shared" si="77"/>
        <v>2907358.1606000001</v>
      </c>
      <c r="S40" s="21">
        <f t="shared" ref="S40" si="78">S38-S39</f>
        <v>4173120.0767000001</v>
      </c>
    </row>
    <row r="41" spans="1:19">
      <c r="A41" s="10" t="s">
        <v>34</v>
      </c>
      <c r="B41" s="11"/>
      <c r="C41" s="21">
        <f t="shared" ref="C41:I41" si="79">C38*30%</f>
        <v>1296078.3</v>
      </c>
      <c r="D41" s="21">
        <f t="shared" si="79"/>
        <v>834347.25</v>
      </c>
      <c r="E41" s="21">
        <f t="shared" si="79"/>
        <v>703231.69059000001</v>
      </c>
      <c r="F41" s="21">
        <f t="shared" si="79"/>
        <v>863126.54999999993</v>
      </c>
      <c r="G41" s="21">
        <f t="shared" si="79"/>
        <v>1259436.0230099999</v>
      </c>
      <c r="H41" s="21">
        <f t="shared" si="79"/>
        <v>1604996.0249399997</v>
      </c>
      <c r="I41" s="21">
        <f t="shared" si="79"/>
        <v>611369.15399999998</v>
      </c>
      <c r="J41" s="21">
        <f t="shared" ref="J41:P41" si="80">J38*30%</f>
        <v>0</v>
      </c>
      <c r="K41" s="21">
        <f t="shared" si="80"/>
        <v>0</v>
      </c>
      <c r="L41" s="21">
        <f t="shared" si="80"/>
        <v>1356445.2221099997</v>
      </c>
      <c r="M41" s="21">
        <f t="shared" si="80"/>
        <v>613257.14735999994</v>
      </c>
      <c r="N41" s="21">
        <f t="shared" si="80"/>
        <v>1838049.67665</v>
      </c>
      <c r="O41" s="21">
        <f t="shared" si="80"/>
        <v>682082.77500000002</v>
      </c>
      <c r="P41" s="21">
        <f t="shared" si="80"/>
        <v>1262642.0399999998</v>
      </c>
      <c r="Q41" s="21">
        <f t="shared" ref="Q41:R41" si="81">Q38*30%</f>
        <v>898086.06953999994</v>
      </c>
      <c r="R41" s="21">
        <f t="shared" si="81"/>
        <v>879707.44817999995</v>
      </c>
      <c r="S41" s="21">
        <f t="shared" ref="S41" si="82">S38*30%</f>
        <v>1259436.0230099999</v>
      </c>
    </row>
    <row r="42" spans="1:19">
      <c r="A42" s="10" t="s">
        <v>77</v>
      </c>
      <c r="B42" s="11"/>
      <c r="C42" s="21">
        <f>C41/15</f>
        <v>86405.22</v>
      </c>
      <c r="D42" s="21">
        <f t="shared" ref="D42:F42" si="83">D41/15</f>
        <v>55623.15</v>
      </c>
      <c r="E42" s="21">
        <f t="shared" si="83"/>
        <v>46882.112706</v>
      </c>
      <c r="F42" s="21">
        <f t="shared" si="83"/>
        <v>57541.77</v>
      </c>
      <c r="G42" s="21">
        <f t="shared" ref="G42:H42" si="84">G41/15</f>
        <v>83962.40153399999</v>
      </c>
      <c r="H42" s="21">
        <f t="shared" si="84"/>
        <v>106999.73499599998</v>
      </c>
      <c r="I42" s="21">
        <f>I41/23</f>
        <v>26581.267565217389</v>
      </c>
      <c r="J42" s="21">
        <f t="shared" ref="J42" si="85">J41/15</f>
        <v>0</v>
      </c>
      <c r="K42" s="21">
        <f t="shared" ref="K42:P42" si="86">K41/15</f>
        <v>0</v>
      </c>
      <c r="L42" s="21">
        <f t="shared" si="86"/>
        <v>90429.681473999983</v>
      </c>
      <c r="M42" s="21">
        <f t="shared" si="86"/>
        <v>40883.809823999996</v>
      </c>
      <c r="N42" s="21">
        <f t="shared" si="86"/>
        <v>122536.64511</v>
      </c>
      <c r="O42" s="21">
        <f t="shared" si="86"/>
        <v>45472.185000000005</v>
      </c>
      <c r="P42" s="21">
        <f t="shared" si="86"/>
        <v>84176.135999999984</v>
      </c>
      <c r="Q42" s="21">
        <f t="shared" ref="Q42" si="87">Q41/15</f>
        <v>59872.404635999999</v>
      </c>
      <c r="R42" s="21">
        <f>R41/23</f>
        <v>38248.14992086956</v>
      </c>
      <c r="S42" s="21">
        <f>S41/23</f>
        <v>54758.087956956515</v>
      </c>
    </row>
    <row r="43" spans="1:19">
      <c r="A43" s="19" t="s">
        <v>70</v>
      </c>
      <c r="B43" s="11"/>
      <c r="C43" s="21">
        <f t="shared" ref="C43:I43" si="88">C38*60%</f>
        <v>2592156.6</v>
      </c>
      <c r="D43" s="21">
        <f t="shared" si="88"/>
        <v>1668694.5</v>
      </c>
      <c r="E43" s="21">
        <f t="shared" si="88"/>
        <v>1406463.38118</v>
      </c>
      <c r="F43" s="21">
        <f t="shared" si="88"/>
        <v>1726253.0999999999</v>
      </c>
      <c r="G43" s="21">
        <f t="shared" si="88"/>
        <v>2518872.0460199998</v>
      </c>
      <c r="H43" s="21">
        <f t="shared" si="88"/>
        <v>3209992.0498799994</v>
      </c>
      <c r="I43" s="21">
        <f t="shared" si="88"/>
        <v>1222738.308</v>
      </c>
      <c r="J43" s="21">
        <f t="shared" ref="J43:P43" si="89">J38*60%</f>
        <v>0</v>
      </c>
      <c r="K43" s="21">
        <f t="shared" si="89"/>
        <v>0</v>
      </c>
      <c r="L43" s="21">
        <f t="shared" si="89"/>
        <v>2712890.4442199995</v>
      </c>
      <c r="M43" s="21">
        <f t="shared" si="89"/>
        <v>1226514.2947199999</v>
      </c>
      <c r="N43" s="21">
        <f t="shared" si="89"/>
        <v>3676099.3533000001</v>
      </c>
      <c r="O43" s="21">
        <f t="shared" si="89"/>
        <v>1364165.55</v>
      </c>
      <c r="P43" s="21">
        <f t="shared" si="89"/>
        <v>2525284.0799999996</v>
      </c>
      <c r="Q43" s="21">
        <f t="shared" ref="Q43:R43" si="90">Q38*60%</f>
        <v>1796172.1390799999</v>
      </c>
      <c r="R43" s="21">
        <f t="shared" si="90"/>
        <v>1759414.8963599999</v>
      </c>
      <c r="S43" s="21">
        <f t="shared" ref="S43" si="91">S38*60%</f>
        <v>2518872.0460199998</v>
      </c>
    </row>
    <row r="44" spans="1:19">
      <c r="A44" s="7"/>
      <c r="B44" s="1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</row>
    <row r="45" spans="1:19">
      <c r="A45" s="7" t="s">
        <v>71</v>
      </c>
      <c r="B45" s="1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</row>
    <row r="46" spans="1:19">
      <c r="A46" s="10" t="s">
        <v>20</v>
      </c>
      <c r="B46" s="11"/>
      <c r="C46" s="21">
        <f t="shared" ref="C46:I46" si="92">C43*0.023632747</f>
        <v>61259.781112180201</v>
      </c>
      <c r="D46" s="21">
        <f t="shared" si="92"/>
        <v>39435.8349387915</v>
      </c>
      <c r="E46" s="21">
        <f t="shared" si="92"/>
        <v>33238.593252191502</v>
      </c>
      <c r="F46" s="21">
        <f t="shared" si="92"/>
        <v>40796.102770265694</v>
      </c>
      <c r="G46" s="21">
        <f t="shared" si="92"/>
        <v>59527.865788963012</v>
      </c>
      <c r="H46" s="21">
        <f t="shared" si="92"/>
        <v>75860.929986825402</v>
      </c>
      <c r="I46" s="21">
        <f t="shared" si="92"/>
        <v>28896.665080172075</v>
      </c>
      <c r="J46" s="21">
        <f t="shared" ref="J46:P46" si="93">J43*0.023632747</f>
        <v>0</v>
      </c>
      <c r="K46" s="21">
        <f t="shared" si="93"/>
        <v>0</v>
      </c>
      <c r="L46" s="21">
        <f t="shared" si="93"/>
        <v>64113.053506968856</v>
      </c>
      <c r="M46" s="21">
        <f t="shared" si="93"/>
        <v>28985.902019001191</v>
      </c>
      <c r="N46" s="21">
        <f t="shared" si="93"/>
        <v>86876.325963402516</v>
      </c>
      <c r="O46" s="21">
        <f t="shared" si="93"/>
        <v>32238.979309265851</v>
      </c>
      <c r="P46" s="21">
        <f t="shared" si="93"/>
        <v>59679.399765767746</v>
      </c>
      <c r="Q46" s="21">
        <f t="shared" ref="Q46:R46" si="94">Q43*0.023632747</f>
        <v>42448.48173132645</v>
      </c>
      <c r="R46" s="21">
        <f t="shared" si="94"/>
        <v>41579.807113707095</v>
      </c>
      <c r="S46" s="21">
        <f t="shared" ref="S46" si="95">S43*0.023632747</f>
        <v>59527.865788963012</v>
      </c>
    </row>
    <row r="47" spans="1:19" hidden="1">
      <c r="A47" s="10" t="s">
        <v>21</v>
      </c>
      <c r="B47" s="11"/>
      <c r="C47" s="21">
        <f t="shared" ref="C47:I47" si="96">C36*0.018622994</f>
        <v>81268.883516600006</v>
      </c>
      <c r="D47" s="21">
        <f t="shared" si="96"/>
        <v>52316.645894499998</v>
      </c>
      <c r="E47" s="21">
        <f t="shared" si="96"/>
        <v>44095.217355109184</v>
      </c>
      <c r="F47" s="21">
        <f t="shared" si="96"/>
        <v>54121.214013099998</v>
      </c>
      <c r="G47" s="21">
        <f t="shared" si="96"/>
        <v>78971.277777438023</v>
      </c>
      <c r="H47" s="21">
        <f t="shared" si="96"/>
        <v>100639.16276929788</v>
      </c>
      <c r="I47" s="21">
        <f t="shared" si="96"/>
        <v>38335.097935108002</v>
      </c>
      <c r="J47" s="21">
        <f t="shared" ref="J47:P47" si="97">J36*0.018622994</f>
        <v>0</v>
      </c>
      <c r="K47" s="21">
        <f t="shared" si="97"/>
        <v>0</v>
      </c>
      <c r="L47" s="21">
        <f t="shared" si="97"/>
        <v>85054.111894556219</v>
      </c>
      <c r="M47" s="21">
        <f t="shared" si="97"/>
        <v>38453.482073206716</v>
      </c>
      <c r="N47" s="21">
        <f t="shared" si="97"/>
        <v>115252.48518503331</v>
      </c>
      <c r="O47" s="21">
        <f t="shared" si="97"/>
        <v>42769.102445550001</v>
      </c>
      <c r="P47" s="21">
        <f t="shared" si="97"/>
        <v>79172.306852080001</v>
      </c>
      <c r="Q47" s="21">
        <f t="shared" ref="Q47:R47" si="98">Q36*0.018622994</f>
        <v>56313.30466170708</v>
      </c>
      <c r="R47" s="21">
        <f t="shared" si="98"/>
        <v>55160.897404752359</v>
      </c>
      <c r="S47" s="21">
        <f t="shared" ref="S47" si="99">S36*0.018622994</f>
        <v>78971.277777438023</v>
      </c>
    </row>
    <row r="48" spans="1:19">
      <c r="A48" s="10"/>
      <c r="B48" s="1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</row>
    <row r="49" spans="1:19">
      <c r="A49" s="19" t="s">
        <v>72</v>
      </c>
      <c r="B49" s="1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>
      <c r="A50" s="10" t="s">
        <v>20</v>
      </c>
      <c r="B50" s="11"/>
      <c r="C50" s="21"/>
      <c r="D50" s="21"/>
      <c r="E50" s="21"/>
      <c r="F50" s="21"/>
      <c r="G50" s="21"/>
      <c r="H50" s="21"/>
      <c r="I50" s="21">
        <f>I43*0.021247044711</f>
        <v>25979.575499928491</v>
      </c>
      <c r="J50" s="21"/>
      <c r="K50" s="21"/>
      <c r="L50" s="21"/>
      <c r="M50" s="21"/>
      <c r="N50" s="21"/>
      <c r="O50" s="21"/>
      <c r="P50" s="21"/>
      <c r="Q50" s="21"/>
      <c r="R50" s="21">
        <f>R43*0.021247044711</f>
        <v>37382.36696816035</v>
      </c>
      <c r="S50" s="21">
        <f>S43*0.021247044711</f>
        <v>53518.586983074987</v>
      </c>
    </row>
    <row r="51" spans="1:19">
      <c r="A51" s="10"/>
      <c r="B51" s="1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ht="18.75">
      <c r="A52" s="22" t="s">
        <v>22</v>
      </c>
      <c r="B52" s="24" t="s">
        <v>68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Q52" s="21"/>
      <c r="R52" s="21"/>
      <c r="S52" s="21"/>
    </row>
    <row r="53" spans="1:19">
      <c r="A53" s="25" t="s">
        <v>10</v>
      </c>
      <c r="B53" s="11"/>
      <c r="C53" s="9">
        <f t="shared" ref="C53:I53" si="100">C9</f>
        <v>4363900</v>
      </c>
      <c r="D53" s="9">
        <f t="shared" si="100"/>
        <v>2809250</v>
      </c>
      <c r="E53" s="9">
        <f t="shared" si="100"/>
        <v>2367783.4700000002</v>
      </c>
      <c r="F53" s="9">
        <f t="shared" si="100"/>
        <v>2906150</v>
      </c>
      <c r="G53" s="9">
        <f t="shared" si="100"/>
        <v>4240525.33</v>
      </c>
      <c r="H53" s="9">
        <f t="shared" si="100"/>
        <v>5404027.0199999996</v>
      </c>
      <c r="I53" s="9">
        <f t="shared" si="100"/>
        <v>2058482</v>
      </c>
      <c r="J53" s="9">
        <f t="shared" ref="J53:P53" si="101">J9</f>
        <v>0</v>
      </c>
      <c r="K53" s="9">
        <f t="shared" si="101"/>
        <v>0</v>
      </c>
      <c r="L53" s="9">
        <f t="shared" si="101"/>
        <v>4567155.63</v>
      </c>
      <c r="M53" s="9">
        <f t="shared" si="101"/>
        <v>2064838.88</v>
      </c>
      <c r="N53" s="9">
        <f t="shared" si="101"/>
        <v>6188719.4500000002</v>
      </c>
      <c r="O53" s="9">
        <f t="shared" si="101"/>
        <v>2296575</v>
      </c>
      <c r="P53" s="9">
        <f t="shared" si="101"/>
        <v>4251320</v>
      </c>
      <c r="Q53" s="9">
        <f t="shared" ref="Q53:R53" si="102">Q9</f>
        <v>3023858.82</v>
      </c>
      <c r="R53" s="9">
        <f t="shared" si="102"/>
        <v>2961977.94</v>
      </c>
      <c r="S53" s="9">
        <f t="shared" ref="S53" si="103">S9</f>
        <v>4240525.33</v>
      </c>
    </row>
    <row r="54" spans="1:19">
      <c r="A54" s="26" t="s">
        <v>26</v>
      </c>
      <c r="B54" s="11"/>
      <c r="C54" s="9">
        <f>C53*2%</f>
        <v>87278</v>
      </c>
      <c r="D54" s="9">
        <f t="shared" ref="D54:E54" si="104">D53*2%</f>
        <v>56185</v>
      </c>
      <c r="E54" s="9">
        <f t="shared" si="104"/>
        <v>47355.669400000006</v>
      </c>
      <c r="F54" s="9">
        <f t="shared" ref="F54:G54" si="105">F53*2%</f>
        <v>58123</v>
      </c>
      <c r="G54" s="9">
        <f t="shared" si="105"/>
        <v>84810.506600000008</v>
      </c>
      <c r="H54" s="9">
        <f t="shared" ref="H54:I54" si="106">H53*2%</f>
        <v>108080.5404</v>
      </c>
      <c r="I54" s="9">
        <f t="shared" si="106"/>
        <v>41169.64</v>
      </c>
      <c r="J54" s="9">
        <f t="shared" ref="J54:P54" si="107">J53*2%</f>
        <v>0</v>
      </c>
      <c r="K54" s="9">
        <f t="shared" si="107"/>
        <v>0</v>
      </c>
      <c r="L54" s="9">
        <f t="shared" si="107"/>
        <v>91343.112599999993</v>
      </c>
      <c r="M54" s="9">
        <f t="shared" si="107"/>
        <v>41296.777600000001</v>
      </c>
      <c r="N54" s="9">
        <f t="shared" si="107"/>
        <v>123774.38900000001</v>
      </c>
      <c r="O54" s="9">
        <f t="shared" si="107"/>
        <v>45931.5</v>
      </c>
      <c r="P54" s="9">
        <f t="shared" si="107"/>
        <v>85026.400000000009</v>
      </c>
      <c r="Q54" s="9">
        <f t="shared" ref="Q54:R54" si="108">Q53*2%</f>
        <v>60477.176399999997</v>
      </c>
      <c r="R54" s="9">
        <f t="shared" si="108"/>
        <v>59239.558799999999</v>
      </c>
      <c r="S54" s="9">
        <f t="shared" ref="S54" si="109">S53*2%</f>
        <v>84810.506600000008</v>
      </c>
    </row>
    <row r="55" spans="1:19">
      <c r="A55" s="26" t="s">
        <v>24</v>
      </c>
      <c r="B55" s="11"/>
      <c r="C55" s="9">
        <f t="shared" ref="C55:I55" si="110">C53-C54</f>
        <v>4276622</v>
      </c>
      <c r="D55" s="9">
        <f t="shared" si="110"/>
        <v>2753065</v>
      </c>
      <c r="E55" s="9">
        <f t="shared" si="110"/>
        <v>2320427.8006000002</v>
      </c>
      <c r="F55" s="9">
        <f t="shared" si="110"/>
        <v>2848027</v>
      </c>
      <c r="G55" s="9">
        <f t="shared" si="110"/>
        <v>4155714.8234000001</v>
      </c>
      <c r="H55" s="9">
        <f t="shared" si="110"/>
        <v>5295946.4795999993</v>
      </c>
      <c r="I55" s="9">
        <f t="shared" si="110"/>
        <v>2017312.36</v>
      </c>
      <c r="J55" s="9">
        <f t="shared" ref="J55:P55" si="111">J53-J54</f>
        <v>0</v>
      </c>
      <c r="K55" s="9">
        <f t="shared" si="111"/>
        <v>0</v>
      </c>
      <c r="L55" s="9">
        <f t="shared" si="111"/>
        <v>4475812.5174000002</v>
      </c>
      <c r="M55" s="9">
        <f t="shared" si="111"/>
        <v>2023542.1024</v>
      </c>
      <c r="N55" s="9">
        <f t="shared" si="111"/>
        <v>6064945.0609999998</v>
      </c>
      <c r="O55" s="9">
        <f t="shared" si="111"/>
        <v>2250643.5</v>
      </c>
      <c r="P55" s="9">
        <f t="shared" si="111"/>
        <v>4166293.6</v>
      </c>
      <c r="Q55" s="9">
        <f t="shared" ref="Q55:R55" si="112">Q53-Q54</f>
        <v>2963381.6436000001</v>
      </c>
      <c r="R55" s="9">
        <f t="shared" si="112"/>
        <v>2902738.3811999997</v>
      </c>
      <c r="S55" s="9">
        <f t="shared" ref="S55" si="113">S53-S54</f>
        <v>4155714.8234000001</v>
      </c>
    </row>
    <row r="56" spans="1:19">
      <c r="A56" s="27" t="s">
        <v>33</v>
      </c>
      <c r="B56" s="11"/>
      <c r="C56" s="21">
        <f>C55*20%</f>
        <v>855324.4</v>
      </c>
      <c r="D56" s="21">
        <f t="shared" ref="D56:E56" si="114">D55*20%</f>
        <v>550613</v>
      </c>
      <c r="E56" s="21">
        <f t="shared" si="114"/>
        <v>464085.56012000004</v>
      </c>
      <c r="F56" s="21">
        <f t="shared" ref="F56:G56" si="115">F55*20%</f>
        <v>569605.4</v>
      </c>
      <c r="G56" s="21">
        <f t="shared" si="115"/>
        <v>831142.96468000009</v>
      </c>
      <c r="H56" s="21">
        <f t="shared" ref="H56:I56" si="116">H55*20%</f>
        <v>1059189.2959199999</v>
      </c>
      <c r="I56" s="21">
        <f t="shared" si="116"/>
        <v>403462.47200000007</v>
      </c>
      <c r="J56" s="21">
        <f t="shared" ref="J56:P56" si="117">J55*20%</f>
        <v>0</v>
      </c>
      <c r="K56" s="21">
        <f t="shared" si="117"/>
        <v>0</v>
      </c>
      <c r="L56" s="21">
        <f t="shared" si="117"/>
        <v>895162.50348000007</v>
      </c>
      <c r="M56" s="21">
        <f t="shared" si="117"/>
        <v>404708.42048000003</v>
      </c>
      <c r="N56" s="21">
        <f t="shared" si="117"/>
        <v>1212989.0122</v>
      </c>
      <c r="O56" s="21">
        <f t="shared" si="117"/>
        <v>450128.7</v>
      </c>
      <c r="P56" s="21">
        <f t="shared" si="117"/>
        <v>833258.72000000009</v>
      </c>
      <c r="Q56" s="21">
        <f t="shared" ref="Q56:R56" si="118">Q55*20%</f>
        <v>592676.32871999999</v>
      </c>
      <c r="R56" s="21">
        <f t="shared" si="118"/>
        <v>580547.67623999994</v>
      </c>
      <c r="S56" s="21">
        <f t="shared" ref="S56" si="119">S55*20%</f>
        <v>831142.96468000009</v>
      </c>
    </row>
    <row r="57" spans="1:19">
      <c r="A57" s="27" t="s">
        <v>32</v>
      </c>
      <c r="B57" s="11"/>
      <c r="C57" s="21">
        <v>25000</v>
      </c>
      <c r="D57" s="21">
        <v>25000</v>
      </c>
      <c r="E57" s="21">
        <v>25000</v>
      </c>
      <c r="F57" s="21">
        <v>25000</v>
      </c>
      <c r="G57" s="21">
        <v>25000</v>
      </c>
      <c r="H57" s="21">
        <v>25000</v>
      </c>
      <c r="I57" s="21">
        <v>25000</v>
      </c>
      <c r="J57" s="21">
        <v>25000</v>
      </c>
      <c r="K57" s="21">
        <v>25000</v>
      </c>
      <c r="L57" s="21">
        <v>25000</v>
      </c>
      <c r="M57" s="21">
        <v>25000</v>
      </c>
      <c r="N57" s="21">
        <v>25000</v>
      </c>
      <c r="O57" s="21">
        <v>25000</v>
      </c>
      <c r="P57" s="21">
        <v>25000</v>
      </c>
      <c r="Q57" s="21">
        <v>25000</v>
      </c>
      <c r="R57" s="21">
        <v>25000</v>
      </c>
      <c r="S57" s="21">
        <v>25000</v>
      </c>
    </row>
    <row r="58" spans="1:19">
      <c r="A58" s="27" t="s">
        <v>35</v>
      </c>
      <c r="B58" s="11"/>
      <c r="C58" s="21">
        <f>C55*20%-25000</f>
        <v>830324.4</v>
      </c>
      <c r="D58" s="21">
        <f t="shared" ref="D58:E58" si="120">D55*20%-25000</f>
        <v>525613</v>
      </c>
      <c r="E58" s="21">
        <f t="shared" si="120"/>
        <v>439085.56012000004</v>
      </c>
      <c r="F58" s="21">
        <f t="shared" ref="F58:G58" si="121">F55*20%-25000</f>
        <v>544605.4</v>
      </c>
      <c r="G58" s="21">
        <f t="shared" si="121"/>
        <v>806142.96468000009</v>
      </c>
      <c r="H58" s="21">
        <f t="shared" ref="H58:I58" si="122">H55*20%-25000</f>
        <v>1034189.2959199999</v>
      </c>
      <c r="I58" s="21">
        <f t="shared" si="122"/>
        <v>378462.47200000007</v>
      </c>
      <c r="J58" s="21">
        <f t="shared" ref="J58:P58" si="123">J55*20%-25000</f>
        <v>-25000</v>
      </c>
      <c r="K58" s="21">
        <f t="shared" si="123"/>
        <v>-25000</v>
      </c>
      <c r="L58" s="21">
        <f t="shared" si="123"/>
        <v>870162.50348000007</v>
      </c>
      <c r="M58" s="21">
        <f t="shared" si="123"/>
        <v>379708.42048000003</v>
      </c>
      <c r="N58" s="21">
        <f t="shared" si="123"/>
        <v>1187989.0122</v>
      </c>
      <c r="O58" s="21">
        <f t="shared" si="123"/>
        <v>425128.7</v>
      </c>
      <c r="P58" s="21">
        <f t="shared" si="123"/>
        <v>808258.72000000009</v>
      </c>
      <c r="Q58" s="21">
        <f t="shared" ref="Q58:R58" si="124">Q55*20%-25000</f>
        <v>567676.32871999999</v>
      </c>
      <c r="R58" s="21">
        <f t="shared" si="124"/>
        <v>555547.67623999994</v>
      </c>
      <c r="S58" s="21">
        <f t="shared" ref="S58" si="125">S55*20%-25000</f>
        <v>806142.96468000009</v>
      </c>
    </row>
    <row r="59" spans="1:19">
      <c r="A59" s="27" t="s">
        <v>34</v>
      </c>
      <c r="B59" s="11"/>
      <c r="C59" s="21">
        <f>C55*30%</f>
        <v>1282986.5999999999</v>
      </c>
      <c r="D59" s="21">
        <f t="shared" ref="D59:E59" si="126">D55*30%</f>
        <v>825919.5</v>
      </c>
      <c r="E59" s="21">
        <f t="shared" si="126"/>
        <v>696128.34018000006</v>
      </c>
      <c r="F59" s="21">
        <f t="shared" ref="F59:G59" si="127">F55*30%</f>
        <v>854408.1</v>
      </c>
      <c r="G59" s="21">
        <f t="shared" si="127"/>
        <v>1246714.4470200001</v>
      </c>
      <c r="H59" s="21">
        <f t="shared" ref="H59:I59" si="128">H55*30%</f>
        <v>1588783.9438799997</v>
      </c>
      <c r="I59" s="21">
        <f t="shared" si="128"/>
        <v>605193.70799999998</v>
      </c>
      <c r="J59" s="21">
        <f t="shared" ref="J59:P59" si="129">J55*30%</f>
        <v>0</v>
      </c>
      <c r="K59" s="21">
        <f t="shared" si="129"/>
        <v>0</v>
      </c>
      <c r="L59" s="21">
        <f t="shared" si="129"/>
        <v>1342743.7552199999</v>
      </c>
      <c r="M59" s="21">
        <f t="shared" si="129"/>
        <v>607062.63072000002</v>
      </c>
      <c r="N59" s="21">
        <f t="shared" si="129"/>
        <v>1819483.5182999999</v>
      </c>
      <c r="O59" s="21">
        <f t="shared" si="129"/>
        <v>675193.04999999993</v>
      </c>
      <c r="P59" s="21">
        <f t="shared" si="129"/>
        <v>1249888.08</v>
      </c>
      <c r="Q59" s="21">
        <f t="shared" ref="Q59:R59" si="130">Q55*30%</f>
        <v>889014.49308000004</v>
      </c>
      <c r="R59" s="21">
        <f t="shared" si="130"/>
        <v>870821.51435999991</v>
      </c>
      <c r="S59" s="21">
        <f t="shared" ref="S59" si="131">S55*30%</f>
        <v>1246714.4470200001</v>
      </c>
    </row>
    <row r="60" spans="1:19">
      <c r="A60" s="26" t="s">
        <v>79</v>
      </c>
      <c r="B60" s="11"/>
      <c r="C60" s="21">
        <f>C59/15</f>
        <v>85532.439999999988</v>
      </c>
      <c r="D60" s="21">
        <f t="shared" ref="D60:F60" si="132">D59/15</f>
        <v>55061.3</v>
      </c>
      <c r="E60" s="21">
        <f t="shared" si="132"/>
        <v>46408.556012000001</v>
      </c>
      <c r="F60" s="21">
        <f t="shared" si="132"/>
        <v>56960.54</v>
      </c>
      <c r="G60" s="21">
        <f t="shared" ref="G60:H60" si="133">G59/15</f>
        <v>83114.296468</v>
      </c>
      <c r="H60" s="21">
        <f t="shared" si="133"/>
        <v>105918.92959199999</v>
      </c>
      <c r="I60" s="21">
        <f>I59/24</f>
        <v>25216.404500000001</v>
      </c>
      <c r="J60" s="21">
        <f t="shared" ref="J60" si="134">J59/15</f>
        <v>0</v>
      </c>
      <c r="K60" s="21">
        <f t="shared" ref="K60:P60" si="135">K59/15</f>
        <v>0</v>
      </c>
      <c r="L60" s="21">
        <f t="shared" si="135"/>
        <v>89516.250348000001</v>
      </c>
      <c r="M60" s="21">
        <f t="shared" si="135"/>
        <v>40470.842047999999</v>
      </c>
      <c r="N60" s="21">
        <f t="shared" si="135"/>
        <v>121298.90121999999</v>
      </c>
      <c r="O60" s="21">
        <f t="shared" si="135"/>
        <v>45012.869999999995</v>
      </c>
      <c r="P60" s="21">
        <f t="shared" si="135"/>
        <v>83325.872000000003</v>
      </c>
      <c r="Q60" s="21">
        <f>Q59/23</f>
        <v>38652.804046956524</v>
      </c>
      <c r="R60" s="21">
        <f>R59/24</f>
        <v>36284.229764999996</v>
      </c>
      <c r="S60" s="21">
        <f>S59/24</f>
        <v>51946.435292500006</v>
      </c>
    </row>
    <row r="61" spans="1:19">
      <c r="A61" s="39" t="s">
        <v>74</v>
      </c>
      <c r="B61" s="11"/>
      <c r="C61" s="21">
        <f>C55*50%</f>
        <v>2138311</v>
      </c>
      <c r="D61" s="21">
        <f t="shared" ref="D61:I61" si="136">D55*65%</f>
        <v>1789492.25</v>
      </c>
      <c r="E61" s="21">
        <f t="shared" si="136"/>
        <v>1508278.0703900002</v>
      </c>
      <c r="F61" s="21">
        <f t="shared" si="136"/>
        <v>1851217.55</v>
      </c>
      <c r="G61" s="21">
        <f t="shared" si="136"/>
        <v>2701214.63521</v>
      </c>
      <c r="H61" s="21">
        <f t="shared" si="136"/>
        <v>3442365.2117399997</v>
      </c>
      <c r="I61" s="21">
        <f t="shared" si="136"/>
        <v>1311253.0340000002</v>
      </c>
      <c r="J61" s="21">
        <f t="shared" ref="J61:P61" si="137">J55*65%</f>
        <v>0</v>
      </c>
      <c r="K61" s="21">
        <f t="shared" si="137"/>
        <v>0</v>
      </c>
      <c r="L61" s="21">
        <f t="shared" si="137"/>
        <v>2909278.1363100004</v>
      </c>
      <c r="M61" s="21">
        <f t="shared" si="137"/>
        <v>1315302.36656</v>
      </c>
      <c r="N61" s="21">
        <f t="shared" si="137"/>
        <v>3942214.2896500002</v>
      </c>
      <c r="O61" s="21">
        <f t="shared" si="137"/>
        <v>1462918.2750000001</v>
      </c>
      <c r="P61" s="21">
        <f t="shared" si="137"/>
        <v>2708090.8400000003</v>
      </c>
      <c r="Q61" s="21">
        <f t="shared" ref="Q61:R61" si="138">Q55*65%</f>
        <v>1926198.06834</v>
      </c>
      <c r="R61" s="21">
        <f t="shared" si="138"/>
        <v>1886779.9477799998</v>
      </c>
      <c r="S61" s="21">
        <f t="shared" ref="S61" si="139">S55*65%</f>
        <v>2701214.63521</v>
      </c>
    </row>
    <row r="62" spans="1:19">
      <c r="A62" s="28"/>
      <c r="B62" s="1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</row>
    <row r="63" spans="1:19">
      <c r="A63" s="19" t="s">
        <v>73</v>
      </c>
      <c r="B63" s="1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</row>
    <row r="64" spans="1:19">
      <c r="A64" s="10" t="s">
        <v>20</v>
      </c>
      <c r="B64" s="11"/>
      <c r="C64" s="21">
        <f t="shared" ref="C64:H64" si="140">C60*0.023632747</f>
        <v>2021.3665148126797</v>
      </c>
      <c r="D64" s="21">
        <f t="shared" si="140"/>
        <v>1301.2497723911001</v>
      </c>
      <c r="E64" s="21">
        <f t="shared" si="140"/>
        <v>1096.761662866925</v>
      </c>
      <c r="F64" s="21">
        <f t="shared" si="140"/>
        <v>1346.13403080338</v>
      </c>
      <c r="G64" s="21">
        <f t="shared" si="140"/>
        <v>1964.2191405112376</v>
      </c>
      <c r="H64" s="21">
        <f t="shared" si="140"/>
        <v>2503.1552655585488</v>
      </c>
      <c r="I64" s="21">
        <f>I61*0.023632747</f>
        <v>30988.511205504401</v>
      </c>
      <c r="J64" s="21"/>
      <c r="K64" s="21"/>
      <c r="L64" s="21"/>
      <c r="M64" s="21"/>
      <c r="N64" s="21"/>
      <c r="O64" s="21"/>
      <c r="P64" s="21"/>
      <c r="Q64" s="21"/>
      <c r="R64" s="21">
        <f>R61*0.023632747</f>
        <v>44589.793150557947</v>
      </c>
      <c r="S64" s="21">
        <f>S61*0.023632747</f>
        <v>63837.122066615222</v>
      </c>
    </row>
    <row r="65" spans="1:19" hidden="1">
      <c r="A65" s="10" t="s">
        <v>21</v>
      </c>
      <c r="B65" s="11"/>
      <c r="C65" s="21">
        <f t="shared" ref="C65:I65" si="141">C53*0.018622994</f>
        <v>81268.883516600006</v>
      </c>
      <c r="D65" s="21">
        <f t="shared" si="141"/>
        <v>52316.645894499998</v>
      </c>
      <c r="E65" s="21">
        <f t="shared" si="141"/>
        <v>44095.217355109184</v>
      </c>
      <c r="F65" s="21">
        <f t="shared" si="141"/>
        <v>54121.214013099998</v>
      </c>
      <c r="G65" s="21">
        <f t="shared" si="141"/>
        <v>78971.277777438023</v>
      </c>
      <c r="H65" s="21">
        <f t="shared" si="141"/>
        <v>100639.16276929788</v>
      </c>
      <c r="I65" s="21">
        <f t="shared" si="141"/>
        <v>38335.097935108002</v>
      </c>
      <c r="J65" s="21"/>
      <c r="K65" s="21"/>
      <c r="L65" s="21"/>
      <c r="M65" s="21"/>
      <c r="N65" s="21"/>
      <c r="O65" s="21"/>
      <c r="P65" s="21"/>
      <c r="Q65" s="21"/>
      <c r="R65" s="21">
        <f t="shared" ref="R65:S65" si="142">R53*0.018622994</f>
        <v>55160.897404752359</v>
      </c>
      <c r="S65" s="21">
        <f t="shared" si="142"/>
        <v>78971.277777438023</v>
      </c>
    </row>
    <row r="66" spans="1:19">
      <c r="A66" s="10"/>
      <c r="B66" s="1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</row>
    <row r="67" spans="1:19">
      <c r="A67" s="19" t="s">
        <v>75</v>
      </c>
      <c r="B67" s="1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</row>
    <row r="68" spans="1:19">
      <c r="A68" s="10" t="s">
        <v>20</v>
      </c>
      <c r="B68" s="11"/>
      <c r="C68" s="21"/>
      <c r="D68" s="21"/>
      <c r="E68" s="21"/>
      <c r="F68" s="21"/>
      <c r="G68" s="21"/>
      <c r="H68" s="21"/>
      <c r="I68" s="21">
        <f>I61*0.021247044711</f>
        <v>27860.25184083241</v>
      </c>
      <c r="J68" s="21"/>
      <c r="K68" s="21"/>
      <c r="L68" s="21"/>
      <c r="M68" s="21"/>
      <c r="N68" s="21"/>
      <c r="O68" s="21"/>
      <c r="P68" s="21"/>
      <c r="Q68" s="21"/>
      <c r="R68" s="21">
        <f>R61*0.021247044711</f>
        <v>40088.497910299906</v>
      </c>
      <c r="S68" s="21">
        <f>S61*0.021247044711</f>
        <v>57392.828128314432</v>
      </c>
    </row>
    <row r="69" spans="1:19">
      <c r="A69" s="40"/>
      <c r="B69" s="1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</row>
    <row r="70" spans="1:19" ht="18.75">
      <c r="A70" s="29" t="s">
        <v>25</v>
      </c>
      <c r="B70" s="23" t="s">
        <v>67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</row>
    <row r="71" spans="1:19">
      <c r="A71" s="25" t="s">
        <v>10</v>
      </c>
      <c r="B71" s="11"/>
      <c r="C71" s="9">
        <f>C9</f>
        <v>4363900</v>
      </c>
      <c r="D71" s="9">
        <v>2390677.0299999998</v>
      </c>
      <c r="E71" s="9">
        <f>E9</f>
        <v>2367783.4700000002</v>
      </c>
      <c r="F71" s="9">
        <f>F9</f>
        <v>2906150</v>
      </c>
      <c r="G71" s="9">
        <f>G9</f>
        <v>4240525.33</v>
      </c>
      <c r="H71" s="9">
        <f>H9</f>
        <v>5404027.0199999996</v>
      </c>
      <c r="I71" s="9">
        <f>I9</f>
        <v>2058482</v>
      </c>
      <c r="J71" s="9">
        <f t="shared" ref="J71" si="143">J9</f>
        <v>0</v>
      </c>
      <c r="K71" s="9">
        <f>K9</f>
        <v>0</v>
      </c>
      <c r="L71" s="9">
        <f>L9</f>
        <v>4567155.63</v>
      </c>
      <c r="M71" s="9">
        <f t="shared" ref="M71:P71" si="144">M9</f>
        <v>2064838.88</v>
      </c>
      <c r="N71" s="9">
        <f t="shared" si="144"/>
        <v>6188719.4500000002</v>
      </c>
      <c r="O71" s="9">
        <f t="shared" si="144"/>
        <v>2296575</v>
      </c>
      <c r="P71" s="9">
        <f t="shared" si="144"/>
        <v>4251320</v>
      </c>
      <c r="Q71" s="9">
        <f>Q9</f>
        <v>3023858.82</v>
      </c>
      <c r="R71" s="9">
        <f>R9</f>
        <v>2961977.94</v>
      </c>
      <c r="S71" s="9">
        <f>S9</f>
        <v>4240525.33</v>
      </c>
    </row>
    <row r="72" spans="1:19">
      <c r="A72" s="27" t="s">
        <v>27</v>
      </c>
      <c r="B72" s="11"/>
      <c r="C72" s="21">
        <f>C71*3%</f>
        <v>130917</v>
      </c>
      <c r="D72" s="21">
        <f t="shared" ref="D72:E72" si="145">D71*3%</f>
        <v>71720.310899999997</v>
      </c>
      <c r="E72" s="21">
        <f t="shared" si="145"/>
        <v>71033.504100000006</v>
      </c>
      <c r="F72" s="21">
        <f t="shared" ref="F72:G72" si="146">F71*3%</f>
        <v>87184.5</v>
      </c>
      <c r="G72" s="21">
        <f t="shared" si="146"/>
        <v>127215.7599</v>
      </c>
      <c r="H72" s="21">
        <f t="shared" ref="H72:I72" si="147">H71*3%</f>
        <v>162120.81059999997</v>
      </c>
      <c r="I72" s="21">
        <f t="shared" si="147"/>
        <v>61754.46</v>
      </c>
      <c r="J72" s="21">
        <f t="shared" ref="J72:P72" si="148">J71*3%</f>
        <v>0</v>
      </c>
      <c r="K72" s="21">
        <f t="shared" si="148"/>
        <v>0</v>
      </c>
      <c r="L72" s="21">
        <f t="shared" si="148"/>
        <v>137014.66889999999</v>
      </c>
      <c r="M72" s="21">
        <f t="shared" si="148"/>
        <v>61945.166399999995</v>
      </c>
      <c r="N72" s="21">
        <f t="shared" si="148"/>
        <v>185661.58350000001</v>
      </c>
      <c r="O72" s="21">
        <f t="shared" si="148"/>
        <v>68897.25</v>
      </c>
      <c r="P72" s="21">
        <f t="shared" si="148"/>
        <v>127539.59999999999</v>
      </c>
      <c r="Q72" s="21">
        <f t="shared" ref="Q72:R72" si="149">Q71*3%</f>
        <v>90715.764599999995</v>
      </c>
      <c r="R72" s="21">
        <f t="shared" si="149"/>
        <v>88859.338199999998</v>
      </c>
      <c r="S72" s="21">
        <f t="shared" ref="S72" si="150">S71*3%</f>
        <v>127215.7599</v>
      </c>
    </row>
    <row r="73" spans="1:19">
      <c r="A73" s="28" t="s">
        <v>18</v>
      </c>
      <c r="B73" s="11"/>
      <c r="C73" s="21">
        <f t="shared" ref="C73:I73" si="151">C71-C72</f>
        <v>4232983</v>
      </c>
      <c r="D73" s="21">
        <f t="shared" si="151"/>
        <v>2318956.7190999999</v>
      </c>
      <c r="E73" s="21">
        <f t="shared" si="151"/>
        <v>2296749.9659000002</v>
      </c>
      <c r="F73" s="21">
        <f t="shared" si="151"/>
        <v>2818965.5</v>
      </c>
      <c r="G73" s="21">
        <f t="shared" si="151"/>
        <v>4113309.5701000001</v>
      </c>
      <c r="H73" s="21">
        <f t="shared" si="151"/>
        <v>5241906.2094000001</v>
      </c>
      <c r="I73" s="21">
        <f t="shared" si="151"/>
        <v>1996727.54</v>
      </c>
      <c r="J73" s="21">
        <f t="shared" ref="J73:P73" si="152">J71-J72</f>
        <v>0</v>
      </c>
      <c r="K73" s="21">
        <f t="shared" si="152"/>
        <v>0</v>
      </c>
      <c r="L73" s="21">
        <f t="shared" si="152"/>
        <v>4430140.9611</v>
      </c>
      <c r="M73" s="21">
        <f t="shared" si="152"/>
        <v>2002893.7135999999</v>
      </c>
      <c r="N73" s="21">
        <f t="shared" si="152"/>
        <v>6003057.8665000005</v>
      </c>
      <c r="O73" s="21">
        <f t="shared" si="152"/>
        <v>2227677.75</v>
      </c>
      <c r="P73" s="21">
        <f t="shared" si="152"/>
        <v>4123780.4</v>
      </c>
      <c r="Q73" s="21">
        <f t="shared" ref="Q73:R73" si="153">Q71-Q72</f>
        <v>2933143.0554</v>
      </c>
      <c r="R73" s="21">
        <f t="shared" si="153"/>
        <v>2873118.6017999998</v>
      </c>
      <c r="S73" s="21">
        <f t="shared" ref="S73" si="154">S71-S72</f>
        <v>4113309.5701000001</v>
      </c>
    </row>
    <row r="74" spans="1:19">
      <c r="A74" s="28" t="s">
        <v>32</v>
      </c>
      <c r="B74" s="11"/>
      <c r="C74" s="21">
        <v>25000</v>
      </c>
      <c r="D74" s="21">
        <v>25000</v>
      </c>
      <c r="E74" s="21">
        <v>25000</v>
      </c>
      <c r="F74" s="21">
        <v>25000</v>
      </c>
      <c r="G74" s="21">
        <v>25000</v>
      </c>
      <c r="H74" s="21">
        <v>25000</v>
      </c>
      <c r="I74" s="21">
        <v>25000</v>
      </c>
      <c r="J74" s="21">
        <v>25000</v>
      </c>
      <c r="K74" s="21">
        <v>25000</v>
      </c>
      <c r="L74" s="21">
        <v>25000</v>
      </c>
      <c r="M74" s="21">
        <v>25000</v>
      </c>
      <c r="N74" s="21">
        <v>25000</v>
      </c>
      <c r="O74" s="21">
        <v>25000</v>
      </c>
      <c r="P74" s="21">
        <v>25000</v>
      </c>
      <c r="Q74" s="21">
        <v>25000</v>
      </c>
      <c r="R74" s="21">
        <v>25000</v>
      </c>
      <c r="S74" s="21">
        <v>25000</v>
      </c>
    </row>
    <row r="75" spans="1:19">
      <c r="A75" s="27" t="s">
        <v>36</v>
      </c>
      <c r="B75" s="11"/>
      <c r="C75" s="21">
        <f>C73*30%</f>
        <v>1269894.8999999999</v>
      </c>
      <c r="D75" s="21">
        <f t="shared" ref="D75:E75" si="155">D73*30%</f>
        <v>695687.01572999998</v>
      </c>
      <c r="E75" s="21">
        <f t="shared" si="155"/>
        <v>689024.98976999999</v>
      </c>
      <c r="F75" s="21">
        <f t="shared" ref="F75:G75" si="156">F73*30%</f>
        <v>845689.65</v>
      </c>
      <c r="G75" s="21">
        <f t="shared" si="156"/>
        <v>1233992.87103</v>
      </c>
      <c r="H75" s="21">
        <f t="shared" ref="H75:I75" si="157">H73*30%</f>
        <v>1572571.8628199999</v>
      </c>
      <c r="I75" s="21">
        <f t="shared" si="157"/>
        <v>599018.26199999999</v>
      </c>
      <c r="J75" s="21">
        <f t="shared" ref="J75:P75" si="158">J73*30%</f>
        <v>0</v>
      </c>
      <c r="K75" s="21">
        <f t="shared" si="158"/>
        <v>0</v>
      </c>
      <c r="L75" s="21">
        <f t="shared" si="158"/>
        <v>1329042.2883299999</v>
      </c>
      <c r="M75" s="21">
        <f t="shared" si="158"/>
        <v>600868.11407999997</v>
      </c>
      <c r="N75" s="21">
        <f t="shared" si="158"/>
        <v>1800917.3599500002</v>
      </c>
      <c r="O75" s="21">
        <f t="shared" si="158"/>
        <v>668303.32499999995</v>
      </c>
      <c r="P75" s="21">
        <f t="shared" si="158"/>
        <v>1237134.1199999999</v>
      </c>
      <c r="Q75" s="21">
        <f t="shared" ref="Q75:R75" si="159">Q73*30%</f>
        <v>879942.91661999992</v>
      </c>
      <c r="R75" s="21">
        <f t="shared" si="159"/>
        <v>861935.58053999988</v>
      </c>
      <c r="S75" s="21">
        <f t="shared" ref="S75" si="160">S73*30%</f>
        <v>1233992.87103</v>
      </c>
    </row>
    <row r="76" spans="1:19">
      <c r="A76" s="27" t="s">
        <v>37</v>
      </c>
      <c r="B76" s="11"/>
      <c r="C76" s="21">
        <f>C75-C74</f>
        <v>1244894.8999999999</v>
      </c>
      <c r="D76" s="21">
        <f t="shared" ref="D76:E76" si="161">D75-D74</f>
        <v>670687.01572999998</v>
      </c>
      <c r="E76" s="21">
        <f t="shared" si="161"/>
        <v>664024.98976999999</v>
      </c>
      <c r="F76" s="21">
        <f t="shared" ref="F76:G76" si="162">F75-F74</f>
        <v>820689.65</v>
      </c>
      <c r="G76" s="21">
        <f t="shared" si="162"/>
        <v>1208992.87103</v>
      </c>
      <c r="H76" s="21">
        <f t="shared" ref="H76:I76" si="163">H75-H74</f>
        <v>1547571.8628199999</v>
      </c>
      <c r="I76" s="21">
        <f t="shared" si="163"/>
        <v>574018.26199999999</v>
      </c>
      <c r="J76" s="21">
        <f t="shared" ref="J76:P76" si="164">J75-J74</f>
        <v>-25000</v>
      </c>
      <c r="K76" s="21">
        <f t="shared" si="164"/>
        <v>-25000</v>
      </c>
      <c r="L76" s="21">
        <f t="shared" si="164"/>
        <v>1304042.2883299999</v>
      </c>
      <c r="M76" s="21">
        <f t="shared" si="164"/>
        <v>575868.11407999997</v>
      </c>
      <c r="N76" s="21">
        <f t="shared" si="164"/>
        <v>1775917.3599500002</v>
      </c>
      <c r="O76" s="21">
        <f t="shared" si="164"/>
        <v>643303.32499999995</v>
      </c>
      <c r="P76" s="21">
        <f t="shared" si="164"/>
        <v>1212134.1199999999</v>
      </c>
      <c r="Q76" s="21">
        <f t="shared" ref="Q76:R76" si="165">Q75-Q74</f>
        <v>854942.91661999992</v>
      </c>
      <c r="R76" s="21">
        <f t="shared" si="165"/>
        <v>836935.58053999988</v>
      </c>
      <c r="S76" s="21">
        <f t="shared" ref="S76" si="166">S75-S74</f>
        <v>1208992.87103</v>
      </c>
    </row>
    <row r="77" spans="1:19">
      <c r="A77" s="27" t="s">
        <v>34</v>
      </c>
      <c r="B77" s="11"/>
      <c r="C77" s="21">
        <f>C73*30%</f>
        <v>1269894.8999999999</v>
      </c>
      <c r="D77" s="21">
        <f t="shared" ref="D77:E77" si="167">D73*30%</f>
        <v>695687.01572999998</v>
      </c>
      <c r="E77" s="21">
        <f t="shared" si="167"/>
        <v>689024.98976999999</v>
      </c>
      <c r="F77" s="21">
        <f t="shared" ref="F77:G77" si="168">F73*30%</f>
        <v>845689.65</v>
      </c>
      <c r="G77" s="21">
        <f t="shared" si="168"/>
        <v>1233992.87103</v>
      </c>
      <c r="H77" s="21">
        <f t="shared" ref="H77:I77" si="169">H73*30%</f>
        <v>1572571.8628199999</v>
      </c>
      <c r="I77" s="21">
        <f t="shared" si="169"/>
        <v>599018.26199999999</v>
      </c>
      <c r="J77" s="21">
        <f t="shared" ref="J77:P77" si="170">J73*30%</f>
        <v>0</v>
      </c>
      <c r="K77" s="21">
        <f t="shared" si="170"/>
        <v>0</v>
      </c>
      <c r="L77" s="21">
        <f t="shared" si="170"/>
        <v>1329042.2883299999</v>
      </c>
      <c r="M77" s="21">
        <f t="shared" si="170"/>
        <v>600868.11407999997</v>
      </c>
      <c r="N77" s="21">
        <f t="shared" si="170"/>
        <v>1800917.3599500002</v>
      </c>
      <c r="O77" s="21">
        <f t="shared" si="170"/>
        <v>668303.32499999995</v>
      </c>
      <c r="P77" s="21">
        <f t="shared" si="170"/>
        <v>1237134.1199999999</v>
      </c>
      <c r="Q77" s="21">
        <f t="shared" ref="Q77:R77" si="171">Q73*30%</f>
        <v>879942.91661999992</v>
      </c>
      <c r="R77" s="21">
        <f t="shared" si="171"/>
        <v>861935.58053999988</v>
      </c>
      <c r="S77" s="21">
        <f t="shared" ref="S77" si="172">S73*30%</f>
        <v>1233992.87103</v>
      </c>
    </row>
    <row r="78" spans="1:19">
      <c r="A78" s="27" t="s">
        <v>77</v>
      </c>
      <c r="B78" s="11"/>
      <c r="C78" s="21">
        <f>C77/15</f>
        <v>84659.659999999989</v>
      </c>
      <c r="D78" s="21">
        <f t="shared" ref="D78:F78" si="173">D77/15</f>
        <v>46379.134381999997</v>
      </c>
      <c r="E78" s="21">
        <f t="shared" si="173"/>
        <v>45934.999318000002</v>
      </c>
      <c r="F78" s="21">
        <f t="shared" si="173"/>
        <v>56379.310000000005</v>
      </c>
      <c r="G78" s="21">
        <f t="shared" ref="G78:H78" si="174">G77/15</f>
        <v>82266.191401999997</v>
      </c>
      <c r="H78" s="21">
        <f t="shared" si="174"/>
        <v>104838.124188</v>
      </c>
      <c r="I78" s="21">
        <f>I77/23</f>
        <v>26044.272260869566</v>
      </c>
      <c r="J78" s="21">
        <f t="shared" ref="J78" si="175">J77/15</f>
        <v>0</v>
      </c>
      <c r="K78" s="21">
        <f t="shared" ref="K78:P78" si="176">K77/15</f>
        <v>0</v>
      </c>
      <c r="L78" s="21">
        <f t="shared" si="176"/>
        <v>88602.819221999991</v>
      </c>
      <c r="M78" s="21">
        <f t="shared" si="176"/>
        <v>40057.874272000001</v>
      </c>
      <c r="N78" s="21">
        <f t="shared" si="176"/>
        <v>120061.15733000002</v>
      </c>
      <c r="O78" s="21">
        <f t="shared" si="176"/>
        <v>44553.555</v>
      </c>
      <c r="P78" s="21">
        <f t="shared" si="176"/>
        <v>82475.607999999993</v>
      </c>
      <c r="Q78" s="21">
        <f>Q77/23</f>
        <v>38258.387679130428</v>
      </c>
      <c r="R78" s="21">
        <f>R77/23</f>
        <v>37475.460023478256</v>
      </c>
      <c r="S78" s="21">
        <f>S77/23</f>
        <v>53651.863957826092</v>
      </c>
    </row>
    <row r="79" spans="1:19">
      <c r="A79" s="27" t="s">
        <v>38</v>
      </c>
      <c r="B79" s="11"/>
      <c r="C79" s="21">
        <f>C73*40%</f>
        <v>1693193.2000000002</v>
      </c>
      <c r="D79" s="21">
        <f t="shared" ref="D79:E79" si="177">D73*40%</f>
        <v>927582.68764000002</v>
      </c>
      <c r="E79" s="21">
        <f t="shared" si="177"/>
        <v>918699.9863600001</v>
      </c>
      <c r="F79" s="21">
        <f t="shared" ref="F79:G79" si="178">F73*40%</f>
        <v>1127586.2</v>
      </c>
      <c r="G79" s="21">
        <f t="shared" si="178"/>
        <v>1645323.8280400001</v>
      </c>
      <c r="H79" s="21">
        <f t="shared" ref="H79:I79" si="179">H73*40%</f>
        <v>2096762.4837600002</v>
      </c>
      <c r="I79" s="21">
        <f t="shared" si="179"/>
        <v>798691.01600000006</v>
      </c>
      <c r="J79" s="21">
        <f t="shared" ref="J79:P79" si="180">J73*40%</f>
        <v>0</v>
      </c>
      <c r="K79" s="21">
        <f t="shared" si="180"/>
        <v>0</v>
      </c>
      <c r="L79" s="21">
        <f t="shared" si="180"/>
        <v>1772056.3844400002</v>
      </c>
      <c r="M79" s="21">
        <f t="shared" si="180"/>
        <v>801157.48543999996</v>
      </c>
      <c r="N79" s="21">
        <f t="shared" si="180"/>
        <v>2401223.1466000001</v>
      </c>
      <c r="O79" s="21">
        <f t="shared" si="180"/>
        <v>891071.10000000009</v>
      </c>
      <c r="P79" s="21">
        <f t="shared" si="180"/>
        <v>1649512.1600000001</v>
      </c>
      <c r="Q79" s="21">
        <f t="shared" ref="Q79:R79" si="181">Q73*40%</f>
        <v>1173257.2221600001</v>
      </c>
      <c r="R79" s="21">
        <f t="shared" si="181"/>
        <v>1149247.4407200001</v>
      </c>
      <c r="S79" s="21">
        <f t="shared" ref="S79" si="182">S73*40%</f>
        <v>1645323.8280400001</v>
      </c>
    </row>
    <row r="80" spans="1:19">
      <c r="A80" s="27"/>
      <c r="B80" s="1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>
      <c r="Q81" s="21"/>
    </row>
    <row r="83" spans="1:19">
      <c r="A83" s="19" t="s">
        <v>73</v>
      </c>
      <c r="B83" s="11"/>
      <c r="C83" s="21"/>
      <c r="D83" s="21"/>
      <c r="E83" s="21"/>
      <c r="F83" s="21"/>
      <c r="G83" s="21"/>
      <c r="H83" s="21"/>
      <c r="I83" s="21"/>
      <c r="R83" s="21"/>
      <c r="S83" s="21"/>
    </row>
    <row r="84" spans="1:19">
      <c r="A84" s="10" t="s">
        <v>20</v>
      </c>
      <c r="B84" s="11"/>
      <c r="C84" s="21">
        <f t="shared" ref="C84:H84" si="183">C80*0.023632747</f>
        <v>0</v>
      </c>
      <c r="D84" s="21">
        <f t="shared" si="183"/>
        <v>0</v>
      </c>
      <c r="E84" s="21">
        <f t="shared" si="183"/>
        <v>0</v>
      </c>
      <c r="F84" s="21">
        <f t="shared" si="183"/>
        <v>0</v>
      </c>
      <c r="G84" s="21">
        <f t="shared" si="183"/>
        <v>0</v>
      </c>
      <c r="H84" s="21">
        <f t="shared" si="183"/>
        <v>0</v>
      </c>
      <c r="I84" s="21">
        <f>I79*0.023632747</f>
        <v>18875.262712300952</v>
      </c>
      <c r="R84" s="21">
        <f>R79*0.023632747</f>
        <v>27159.87400693326</v>
      </c>
      <c r="S84" s="21">
        <f>S79*0.023632747</f>
        <v>38883.521761140822</v>
      </c>
    </row>
    <row r="85" spans="1:19">
      <c r="A85" s="10" t="s">
        <v>21</v>
      </c>
      <c r="B85" s="11"/>
      <c r="C85" s="21">
        <f t="shared" ref="C85:H85" si="184">C73*0.018622994</f>
        <v>78830.817011102001</v>
      </c>
      <c r="D85" s="21">
        <f t="shared" si="184"/>
        <v>43185.917066058981</v>
      </c>
      <c r="E85" s="21">
        <f t="shared" si="184"/>
        <v>42772.360834455911</v>
      </c>
      <c r="F85" s="21">
        <f t="shared" si="184"/>
        <v>52497.577592706999</v>
      </c>
      <c r="G85" s="21">
        <f t="shared" si="184"/>
        <v>76602.139444114888</v>
      </c>
      <c r="H85" s="21">
        <f t="shared" si="184"/>
        <v>97619.987886218951</v>
      </c>
      <c r="I85" s="21"/>
      <c r="R85" s="21"/>
      <c r="S85" s="21"/>
    </row>
    <row r="86" spans="1:19">
      <c r="A86" s="10"/>
      <c r="B86" s="11"/>
      <c r="C86" s="21"/>
      <c r="D86" s="21"/>
      <c r="E86" s="21"/>
      <c r="F86" s="21"/>
      <c r="G86" s="21"/>
      <c r="H86" s="21"/>
      <c r="I86" s="21"/>
      <c r="R86" s="21"/>
      <c r="S86" s="21"/>
    </row>
    <row r="87" spans="1:19">
      <c r="A87" s="19" t="s">
        <v>75</v>
      </c>
      <c r="B87" s="11"/>
      <c r="C87" s="21"/>
      <c r="D87" s="21"/>
      <c r="E87" s="21"/>
      <c r="F87" s="21"/>
      <c r="G87" s="21"/>
      <c r="H87" s="21"/>
      <c r="I87" s="21">
        <f>I79*0.021247044711</f>
        <v>16969.823727226019</v>
      </c>
      <c r="R87" s="21">
        <f>R79*0.021247044711</f>
        <v>24418.111756980165</v>
      </c>
      <c r="S87" s="21">
        <f>S79*0.021247044711</f>
        <v>34958.268938439556</v>
      </c>
    </row>
    <row r="88" spans="1:19">
      <c r="A88" s="10" t="s">
        <v>20</v>
      </c>
      <c r="B88" s="11"/>
      <c r="C88" s="21"/>
      <c r="D88" s="21"/>
      <c r="E88" s="21"/>
      <c r="F88" s="21"/>
      <c r="G88" s="21"/>
      <c r="H88" s="21"/>
      <c r="I88" s="21"/>
      <c r="R88" s="21"/>
      <c r="S88" s="21"/>
    </row>
    <row r="91" spans="1:19">
      <c r="A91" s="1" t="s">
        <v>85</v>
      </c>
    </row>
    <row r="92" spans="1:19">
      <c r="A92" s="1" t="s">
        <v>83</v>
      </c>
    </row>
    <row r="93" spans="1:19">
      <c r="A93" s="1" t="s">
        <v>84</v>
      </c>
    </row>
  </sheetData>
  <mergeCells count="5">
    <mergeCell ref="A1:E1"/>
    <mergeCell ref="A2:E2"/>
    <mergeCell ref="A3:B3"/>
    <mergeCell ref="I9:K9"/>
    <mergeCell ref="I7:K7"/>
  </mergeCells>
  <pageMargins left="0.7" right="0.7" top="0.75" bottom="1.44" header="0.3" footer="0.3"/>
  <pageSetup paperSize="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E4" sqref="E4:E9"/>
    </sheetView>
  </sheetViews>
  <sheetFormatPr defaultRowHeight="15"/>
  <cols>
    <col min="1" max="1" width="14.85546875" customWidth="1"/>
    <col min="2" max="2" width="27.85546875" customWidth="1"/>
    <col min="3" max="3" width="16.5703125" hidden="1" customWidth="1"/>
    <col min="4" max="4" width="16.7109375" hidden="1" customWidth="1"/>
    <col min="5" max="5" width="16.85546875" customWidth="1"/>
    <col min="6" max="6" width="17.42578125" customWidth="1"/>
  </cols>
  <sheetData>
    <row r="1" spans="1:6" ht="20.25">
      <c r="A1" s="44" t="s">
        <v>17</v>
      </c>
      <c r="B1" s="44"/>
      <c r="C1" s="44"/>
    </row>
    <row r="2" spans="1:6">
      <c r="A2" s="45" t="s">
        <v>0</v>
      </c>
      <c r="B2" s="45"/>
      <c r="C2" s="45"/>
    </row>
    <row r="3" spans="1:6">
      <c r="A3" s="46" t="s">
        <v>1</v>
      </c>
      <c r="B3" s="46"/>
      <c r="C3" s="2"/>
    </row>
    <row r="4" spans="1:6">
      <c r="A4" s="32" t="s">
        <v>2</v>
      </c>
      <c r="B4" s="3" t="s">
        <v>3</v>
      </c>
      <c r="C4" s="31">
        <v>2421</v>
      </c>
      <c r="D4" s="31">
        <v>1816</v>
      </c>
      <c r="E4" s="36" t="s">
        <v>62</v>
      </c>
      <c r="F4" s="35">
        <v>1719</v>
      </c>
    </row>
    <row r="5" spans="1:6" s="1" customFormat="1">
      <c r="A5" s="2"/>
      <c r="B5" s="3" t="s">
        <v>4</v>
      </c>
      <c r="C5" s="4" t="s">
        <v>5</v>
      </c>
      <c r="D5" s="4" t="s">
        <v>5</v>
      </c>
      <c r="E5" s="4" t="s">
        <v>5</v>
      </c>
      <c r="F5" s="4" t="s">
        <v>5</v>
      </c>
    </row>
    <row r="6" spans="1:6" s="1" customFormat="1">
      <c r="A6" s="2" t="s">
        <v>6</v>
      </c>
      <c r="B6" s="3" t="s">
        <v>7</v>
      </c>
      <c r="C6" s="5" t="s">
        <v>48</v>
      </c>
      <c r="D6" s="5" t="s">
        <v>40</v>
      </c>
      <c r="E6" s="5" t="s">
        <v>63</v>
      </c>
      <c r="F6" s="5" t="s">
        <v>41</v>
      </c>
    </row>
    <row r="7" spans="1:6" s="1" customFormat="1">
      <c r="B7" s="3" t="s">
        <v>8</v>
      </c>
      <c r="C7" s="5" t="s">
        <v>60</v>
      </c>
      <c r="D7" s="5" t="s">
        <v>59</v>
      </c>
      <c r="E7" s="5" t="s">
        <v>64</v>
      </c>
      <c r="F7" s="5" t="s">
        <v>61</v>
      </c>
    </row>
    <row r="8" spans="1:6" s="1" customFormat="1">
      <c r="A8" s="18" t="s">
        <v>53</v>
      </c>
      <c r="C8" s="16"/>
      <c r="D8" s="16"/>
      <c r="E8" s="16"/>
      <c r="F8" s="16"/>
    </row>
    <row r="9" spans="1:6" s="1" customFormat="1">
      <c r="A9" s="7" t="s">
        <v>10</v>
      </c>
      <c r="B9" s="8"/>
      <c r="C9" s="9">
        <v>2413653.89</v>
      </c>
      <c r="D9" s="9">
        <v>2308933</v>
      </c>
      <c r="E9" s="9">
        <v>5404027.0199999996</v>
      </c>
      <c r="F9" s="9">
        <v>2296575</v>
      </c>
    </row>
    <row r="10" spans="1:6" s="1" customFormat="1">
      <c r="A10" s="7" t="s">
        <v>32</v>
      </c>
      <c r="B10" s="8"/>
      <c r="C10" s="9">
        <v>25000</v>
      </c>
      <c r="D10" s="9">
        <v>25000</v>
      </c>
      <c r="E10" s="9">
        <v>25000</v>
      </c>
      <c r="F10" s="9">
        <v>25000</v>
      </c>
    </row>
    <row r="11" spans="1:6" s="1" customFormat="1">
      <c r="A11" s="10" t="s">
        <v>15</v>
      </c>
      <c r="B11" s="11"/>
      <c r="C11" s="12">
        <f>C9*20%-C10</f>
        <v>457730.77800000005</v>
      </c>
      <c r="D11" s="12">
        <f>D9*20%-D10</f>
        <v>436786.60000000003</v>
      </c>
      <c r="E11" s="12">
        <f>E9*20%-E10</f>
        <v>1055805.4039999999</v>
      </c>
      <c r="F11" s="12">
        <f>F9*20%-F10</f>
        <v>434315</v>
      </c>
    </row>
    <row r="12" spans="1:6" s="1" customFormat="1">
      <c r="A12" s="10" t="s">
        <v>42</v>
      </c>
      <c r="B12" s="11" t="s">
        <v>58</v>
      </c>
      <c r="C12" s="9">
        <f>C11/23</f>
        <v>19901.338173913045</v>
      </c>
      <c r="D12" s="9">
        <f>D11/23</f>
        <v>18990.721739130437</v>
      </c>
      <c r="E12" s="9">
        <f>E11/23</f>
        <v>45904.58278260869</v>
      </c>
      <c r="F12" s="9">
        <f>F11/23</f>
        <v>18883.260869565216</v>
      </c>
    </row>
    <row r="13" spans="1:6" s="1" customFormat="1">
      <c r="A13" s="19" t="s">
        <v>54</v>
      </c>
      <c r="B13" s="20"/>
      <c r="C13" s="12">
        <f>C9*80%</f>
        <v>1930923.1120000002</v>
      </c>
      <c r="D13" s="12">
        <f>D9*80%</f>
        <v>1847146.4000000001</v>
      </c>
      <c r="E13" s="12">
        <f>E9*80%</f>
        <v>4323221.6159999995</v>
      </c>
      <c r="F13" s="12">
        <f>F9*80%</f>
        <v>1837260</v>
      </c>
    </row>
    <row r="14" spans="1:6" s="1" customFormat="1">
      <c r="A14" s="28"/>
      <c r="B14" s="26"/>
      <c r="C14" s="34"/>
      <c r="D14" s="34"/>
      <c r="E14" s="34"/>
      <c r="F14" s="34"/>
    </row>
    <row r="15" spans="1:6">
      <c r="A15" t="s">
        <v>56</v>
      </c>
    </row>
    <row r="16" spans="1:6">
      <c r="A16" t="s">
        <v>55</v>
      </c>
      <c r="C16" s="33">
        <f>C13*0.023632747</f>
        <v>45633.017382348669</v>
      </c>
      <c r="D16" s="33">
        <f>D13*0.023632747</f>
        <v>43653.143543160804</v>
      </c>
      <c r="E16" s="33">
        <f>E13*0.023632747</f>
        <v>102169.60267585913</v>
      </c>
      <c r="F16" s="33">
        <f>F13*0.023632747</f>
        <v>43419.500753219996</v>
      </c>
    </row>
    <row r="17" spans="1:6">
      <c r="A17" t="s">
        <v>21</v>
      </c>
      <c r="C17" s="33">
        <f>C13*0.018032313</f>
        <v>34819.009934518064</v>
      </c>
      <c r="D17" s="33">
        <f>D13*0.018032313</f>
        <v>33308.322041623207</v>
      </c>
      <c r="E17" s="33">
        <f>E13*0.018032313</f>
        <v>77957.685348077808</v>
      </c>
      <c r="F17" s="33">
        <f>F13*0.018032313</f>
        <v>33130.047382380006</v>
      </c>
    </row>
    <row r="18" spans="1:6">
      <c r="A18" t="s">
        <v>51</v>
      </c>
      <c r="C18" s="33">
        <f>C13*0.016851158</f>
        <v>32538.290446163701</v>
      </c>
      <c r="D18" s="33">
        <f>D13*0.016851158</f>
        <v>31126.555835531206</v>
      </c>
      <c r="E18" s="33">
        <f>E13*0.016851158</f>
        <v>72851.290520231327</v>
      </c>
      <c r="F18" s="33">
        <f>F13*0.016851158</f>
        <v>30959.958547080001</v>
      </c>
    </row>
    <row r="20" spans="1:6">
      <c r="A20" t="s">
        <v>57</v>
      </c>
    </row>
    <row r="21" spans="1:6">
      <c r="A21" t="s">
        <v>20</v>
      </c>
      <c r="C21" s="33">
        <f>C13*0.02124704</f>
        <v>41026.400597588479</v>
      </c>
      <c r="D21" s="33">
        <f>D13*0.02124704</f>
        <v>39246.393446656002</v>
      </c>
      <c r="E21" s="33">
        <f>E13*0.02124704</f>
        <v>91855.662604016616</v>
      </c>
      <c r="F21" s="33">
        <f>F13*0.02124704</f>
        <v>39036.336710399999</v>
      </c>
    </row>
    <row r="22" spans="1:6">
      <c r="A22" t="s">
        <v>51</v>
      </c>
      <c r="C22" s="33">
        <f>C13*0.0133539</f>
        <v>25785.354145336802</v>
      </c>
      <c r="D22" s="33">
        <f>D13*0.0133539</f>
        <v>24666.60831096</v>
      </c>
      <c r="E22" s="33">
        <f>E13*0.0133539</f>
        <v>57731.869137902395</v>
      </c>
      <c r="F22" s="33">
        <f>F13*0.0133539</f>
        <v>24534.586314</v>
      </c>
    </row>
    <row r="23" spans="1:6">
      <c r="A23" t="s">
        <v>52</v>
      </c>
      <c r="C23" s="33">
        <f>C13*0.01105399</f>
        <v>21344.40477081688</v>
      </c>
      <c r="D23" s="33">
        <f>D13*0.01105399</f>
        <v>20418.337834136</v>
      </c>
      <c r="E23" s="33">
        <f>E13*0.01105399</f>
        <v>47788.848511047836</v>
      </c>
      <c r="F23" s="33">
        <f>F13*0.01105399</f>
        <v>20309.0536674</v>
      </c>
    </row>
  </sheetData>
  <mergeCells count="3">
    <mergeCell ref="A1:C1"/>
    <mergeCell ref="A2:C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AS OF JUNE 5, 2010 LBC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Sales Force</dc:creator>
  <cp:lastModifiedBy>USER</cp:lastModifiedBy>
  <cp:lastPrinted>2011-03-06T09:10:51Z</cp:lastPrinted>
  <dcterms:created xsi:type="dcterms:W3CDTF">2010-06-07T04:10:38Z</dcterms:created>
  <dcterms:modified xsi:type="dcterms:W3CDTF">2011-08-25T23:21:59Z</dcterms:modified>
</cp:coreProperties>
</file>